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jwimer/Dropbox/Paisley/Trail Markers/"/>
    </mc:Choice>
  </mc:AlternateContent>
  <bookViews>
    <workbookView xWindow="80" yWindow="460" windowWidth="38320" windowHeight="21140"/>
  </bookViews>
  <sheets>
    <sheet name="Sheet1" sheetId="1" r:id="rId1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5" i="1"/>
  <c r="D65" i="1"/>
  <c r="E64" i="1"/>
  <c r="D64" i="1"/>
  <c r="E63" i="1"/>
  <c r="D63" i="1"/>
  <c r="E62" i="1"/>
  <c r="D62" i="1"/>
  <c r="E61" i="1"/>
  <c r="D61" i="1"/>
  <c r="E60" i="1"/>
  <c r="D60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0" i="1"/>
  <c r="D30" i="1"/>
  <c r="E29" i="1"/>
  <c r="D29" i="1"/>
  <c r="E28" i="1"/>
  <c r="D28" i="1"/>
  <c r="E27" i="1"/>
  <c r="D27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0" i="1"/>
  <c r="D10" i="1"/>
  <c r="E9" i="1"/>
  <c r="D9" i="1"/>
</calcChain>
</file>

<file path=xl/sharedStrings.xml><?xml version="1.0" encoding="utf-8"?>
<sst xmlns="http://schemas.openxmlformats.org/spreadsheetml/2006/main" count="148" uniqueCount="128">
  <si>
    <t>29.01.20 x 81.34.02</t>
  </si>
  <si>
    <t>29.01.19 x 81.33.52</t>
  </si>
  <si>
    <t>29.01.19 x 81.33.48</t>
  </si>
  <si>
    <t>29.01.45 x 81.33.50</t>
  </si>
  <si>
    <t>29.01.05 x 81.33.23</t>
  </si>
  <si>
    <t>Post 018 at a non-numbered road crossing just north of Big Sandy</t>
  </si>
  <si>
    <t>29.00.23 x 81.33.23</t>
  </si>
  <si>
    <t>29.00.03 x 81.33.07</t>
  </si>
  <si>
    <t>Posts 020A,B at Fire Tower Road</t>
  </si>
  <si>
    <t>28.59.34 x 81.32.54</t>
  </si>
  <si>
    <t>28.59.28 x 81.32.57</t>
  </si>
  <si>
    <t>28.59.09 x 81.33.03</t>
  </si>
  <si>
    <t>28.58.56 x 81.33.03</t>
  </si>
  <si>
    <t>28.58.36 x 81.33.01</t>
  </si>
  <si>
    <t>28.59.03 x 81.33.18</t>
  </si>
  <si>
    <t>Posts 004A,B at road crossing 63</t>
  </si>
  <si>
    <t>28.58.58 x 81.33.41</t>
  </si>
  <si>
    <t>28.59.19 x 81.34.06</t>
  </si>
  <si>
    <t>28.59.23 x 81.34.25</t>
  </si>
  <si>
    <t>28.59.42 x 81.34.21</t>
  </si>
  <si>
    <t>29.00.06 x 81.34.02</t>
  </si>
  <si>
    <t>29.00.22 x 81.34.00</t>
  </si>
  <si>
    <t>29.09.31 x 81.34.03</t>
  </si>
  <si>
    <t>29.01.01 x 81.34.04</t>
  </si>
  <si>
    <t>29.01.29 x 81.34.11</t>
  </si>
  <si>
    <t>29.01.35 x 81.34.23</t>
  </si>
  <si>
    <t>29.01.54 x 81.34.47</t>
  </si>
  <si>
    <t>29.01.55 x 81.35.04</t>
  </si>
  <si>
    <t>29.01.55 x 81.35.10</t>
  </si>
  <si>
    <t>29.01.56 x 81.35.23</t>
  </si>
  <si>
    <t>29.02.24 x 81.35.21</t>
  </si>
  <si>
    <t>29.02.29 x 81.35.20</t>
  </si>
  <si>
    <t>29.02.55 x 81.35.06</t>
  </si>
  <si>
    <t>29.04.07 x 81.34.52</t>
  </si>
  <si>
    <t>29.01.20 x 81.34.05</t>
  </si>
  <si>
    <t>29.03.13 x 81.35.06</t>
  </si>
  <si>
    <t xml:space="preserve">Posts 032A,B at road crossing 10-1.0C </t>
  </si>
  <si>
    <t>29.03.30 x 81.35.00</t>
  </si>
  <si>
    <t>29.03.41 x 81.35.07</t>
  </si>
  <si>
    <t>29.04.03 x 81.34.53</t>
  </si>
  <si>
    <t>29.04.09 x 81.34.52</t>
  </si>
  <si>
    <t>29.04.13 x 81.34.53</t>
  </si>
  <si>
    <t>Post 039 where trail leaves fire break and heads into hammock</t>
  </si>
  <si>
    <t>29.04.15 x 81.34.48</t>
  </si>
  <si>
    <t>29.04.01 x 81.34.52</t>
  </si>
  <si>
    <t>29.04.23 x 81.34.45</t>
  </si>
  <si>
    <t>29.03.22 x 81.34.44</t>
  </si>
  <si>
    <t>29.04.41 x 81.34.40</t>
  </si>
  <si>
    <t>29.03.10 x 81.34.28</t>
  </si>
  <si>
    <t>29.01.29 x 81.34.03</t>
  </si>
  <si>
    <t>29.01.36 x 81.34.04</t>
  </si>
  <si>
    <t>29.01.58 x 81.34.09</t>
  </si>
  <si>
    <t>29.02.19 x 81.34.31</t>
  </si>
  <si>
    <t>29.02.42 x 81.34.11</t>
  </si>
  <si>
    <t>29.02.45 x 81.34.11</t>
  </si>
  <si>
    <t>SOUTH SPUR</t>
  </si>
  <si>
    <t>SW SECTION</t>
  </si>
  <si>
    <t>CENTER CONNECTOR</t>
  </si>
  <si>
    <t>SE SECTION</t>
  </si>
  <si>
    <t>NW SECTION</t>
  </si>
  <si>
    <t>NORTH SPUR</t>
  </si>
  <si>
    <t>NE SECTION</t>
  </si>
  <si>
    <t>Location Description</t>
  </si>
  <si>
    <t>Degrees Minutes Seconds</t>
  </si>
  <si>
    <t>Post Numbering Logic:</t>
  </si>
  <si>
    <t>Decimal Degrees</t>
  </si>
  <si>
    <t>Posts 001A,B at Clearwater Lake Trailhead</t>
  </si>
  <si>
    <t>Posts 003A,B at non-numbered road between Clearwater Lake Campground and FR-63</t>
  </si>
  <si>
    <t>Posts 005A,B at road crossing 42-16.6</t>
  </si>
  <si>
    <t>Posts 006A,B at road crossing 61-1.7</t>
  </si>
  <si>
    <t>Post 007 at road crossing 42-16.6</t>
  </si>
  <si>
    <t>Posts 008A,B at road crossing 08</t>
  </si>
  <si>
    <t>Post 009 at non-numbered road crossing by low spot to west of trail</t>
  </si>
  <si>
    <t>Post 010 at road crossing 63-2.1</t>
  </si>
  <si>
    <t>Posts 011A,B at road crossing 63 near OHV trail</t>
  </si>
  <si>
    <t xml:space="preserve">Posts 011C,D close by on either side of OHV crossing </t>
  </si>
  <si>
    <t>Post 013, 1st post east of West End Center Connector where trail branches off of non-numbered road</t>
  </si>
  <si>
    <t>Post 014, 1st post west of East End Center Connectpr where trail branches off of non-numbered road</t>
  </si>
  <si>
    <t>Posts 015A,B,C at East End Center Connector</t>
  </si>
  <si>
    <t>Posts 012A,B,C at West End Center Connector</t>
  </si>
  <si>
    <t>Posts 016A,B at OHV crossing just south of East End Center Connector</t>
  </si>
  <si>
    <t>Post 017 at 1st non-numbered road south OHV trail</t>
  </si>
  <si>
    <t>Posts 019A,B at road crossing 61-1.7 (hits graded road FR-69 just north of the Paisley Transfer Station)</t>
  </si>
  <si>
    <t>Posts 021A,B at the Florida Trail crossing</t>
  </si>
  <si>
    <t>Posts 022A,B at corner of private property to east, just north of South Fork</t>
  </si>
  <si>
    <t>Posts 023A,B at road crossing 63 just south of 5-point and just north of West End Center Connector</t>
  </si>
  <si>
    <t>Posts 024A,B at road crossing 63-5.5A west of 5-point</t>
  </si>
  <si>
    <t>Post 026, no road crossing here, is 0.33 miles west of post 025B</t>
  </si>
  <si>
    <t>Post 027, no road crossing here, 0.44 miles west of post 025B</t>
  </si>
  <si>
    <t>Posts 030A,B at power line Right of Way aka FR-10</t>
  </si>
  <si>
    <t>Posts 025A,B at non-numbered road at the high point</t>
  </si>
  <si>
    <t>Posts 031A,B at road crossing 10-1.0 just north of the "old beetle kill tunnel section"</t>
  </si>
  <si>
    <t>Posts 033A,B at road crossing 10-0.3A is just north of "Small Sandy"</t>
  </si>
  <si>
    <t>Posts 034A,B at road crossing 10-1.0C1 which is the road to the North Trailhead and Kiosk</t>
  </si>
  <si>
    <t>Posts 035A,B,C at North Fork</t>
  </si>
  <si>
    <t>Posts 002A,B,C,D at South Fork</t>
  </si>
  <si>
    <t>Posts 036A,B at North Trailhead Kiosk </t>
  </si>
  <si>
    <t>Post 037 just north of North Trailhead Kiosk on beginning of the North Spur to Alexander Springs</t>
  </si>
  <si>
    <t>Posts 038A,B at graded road crossing FR-69</t>
  </si>
  <si>
    <t>Post 040 where bike spur joins foot trail spur headed to Alexander Springs</t>
  </si>
  <si>
    <t>Decimal Degrees **</t>
  </si>
  <si>
    <t>** DD format values deduced from the DMS format using this formula: =SUM(degrees+(minutes/60)+(seconds/3600))</t>
  </si>
  <si>
    <t>Post 041 at paved road 445 directly across the street from the Alexander Springs Entry Gate</t>
  </si>
  <si>
    <t>Post 028, 0.68 miles west of post 025B, trail turns to the north toward the power line right of way</t>
  </si>
  <si>
    <t xml:space="preserve">          South Loop Clockwise From Clearwater Lake Trailhead, Includes Center Connector, back to Clearwater Lake Trailhead</t>
  </si>
  <si>
    <t>29.01.58 x 81.34.03</t>
  </si>
  <si>
    <t>29.01.55 x 81.34.04</t>
  </si>
  <si>
    <t xml:space="preserve">          Then North Loop Clockwise From West End Center Connector, includes north spur to Alexander Springs, then back to East End Center Connector</t>
  </si>
  <si>
    <t>Updated by John Wimer 10/23/17, Revision 4</t>
  </si>
  <si>
    <t>Number of posts this section: 17</t>
  </si>
  <si>
    <t>Number of posts this section: 6</t>
  </si>
  <si>
    <t>Number of posts this section: 12</t>
  </si>
  <si>
    <t>Number of posts this section: 23</t>
  </si>
  <si>
    <t>Number of posts this section: 8</t>
  </si>
  <si>
    <t>Post 029, at crossing 10-1.81 which is just south of the power line right of way </t>
  </si>
  <si>
    <t>Post 049, at road crossing 63-5.5 east of road crossing 63 at post 048 by about 650 feet</t>
  </si>
  <si>
    <t>Post 050, at no road crossing is about 400 feet south of post 049</t>
  </si>
  <si>
    <t>Post 051, just NE of 5-point at road crossing 63-5.01</t>
  </si>
  <si>
    <t>Posts 052A/B, just east of 5-point at road crossing 63-5.0 and just north of East End Center Connector</t>
  </si>
  <si>
    <t>Posts 048A/B, at road crossing 63 just south of powerline, also just north of 5-point</t>
  </si>
  <si>
    <t>Posts 047A/B, at the power line right of way aka FR-10 crossing</t>
  </si>
  <si>
    <t>Post 046, about 400 feet south of post 045, this one also on a non-numbered road</t>
  </si>
  <si>
    <t>Post 045, at non-numbered road crossing just south of Grassy Pond at top of short steep hill climb</t>
  </si>
  <si>
    <t>Posts 044A/B, at road crossing 10-1.0, is road crossing just north of Grassy Pond</t>
  </si>
  <si>
    <t>Posts 043A/B, at road crossing 10-0.3A</t>
  </si>
  <si>
    <t>Posts 042A/B, at road crossing 10.1.0C1 just east of North Fork heading south on the East Side Trail</t>
  </si>
  <si>
    <t>Total number of posts: 91</t>
  </si>
  <si>
    <t>PAISLEY WOODS BICYCLE TRAIL - Yellow Carsonite Post List, Qty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</si>
</sst>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2" borderId="8" xfId="0" applyFont="1" applyFill="1" applyBorder="1"/>
    <xf numFmtId="0" fontId="1" fillId="2" borderId="9" xfId="0" applyFont="1" applyFill="1" applyBorder="1"/>
    <xf numFmtId="0" fontId="1" fillId="3" borderId="1" xfId="0" applyFont="1" applyFill="1" applyBorder="1"/>
    <xf numFmtId="0" fontId="1" fillId="0" borderId="11" xfId="0" applyFont="1" applyBorder="1"/>
    <xf numFmtId="0" fontId="1" fillId="2" borderId="1" xfId="0" applyFont="1" applyFill="1" applyBorder="1"/>
    <xf numFmtId="164" fontId="1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10" xfId="0" applyFont="1" applyFill="1" applyBorder="1"/>
    <xf numFmtId="0" fontId="0" fillId="2" borderId="6" xfId="0" applyFont="1" applyFill="1" applyBorder="1"/>
    <xf numFmtId="0" fontId="0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3" xfId="0" applyFont="1" applyFill="1" applyBorder="1" applyAlignment="1">
      <alignment horizontal="right"/>
    </xf>
    <xf numFmtId="0" fontId="1" fillId="0" borderId="8" xfId="0" applyFont="1" applyFill="1" applyBorder="1"/>
    <xf numFmtId="0" fontId="1" fillId="0" borderId="7" xfId="0" applyFont="1" applyBorder="1"/>
    <xf numFmtId="0" fontId="0" fillId="2" borderId="12" xfId="0" applyFont="1" applyFill="1" applyBorder="1" applyAlignment="1">
      <alignment horizontal="right"/>
    </xf>
    <xf numFmtId="0" fontId="1" fillId="2" borderId="12" xfId="0" applyFont="1" applyFill="1" applyBorder="1"/>
    <xf numFmtId="0" fontId="1" fillId="2" borderId="7" xfId="0" applyFont="1" applyFill="1" applyBorder="1" applyAlignment="1">
      <alignment horizontal="right"/>
    </xf>
    <xf numFmtId="0" fontId="1" fillId="2" borderId="13" xfId="0" applyFont="1" applyFill="1" applyBorder="1"/>
    <xf numFmtId="0" fontId="1" fillId="2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E100"/>
  <sheetViews>
    <sheetView tabSelected="1" topLeftCell="B1" workbookViewId="0">
      <selection activeCell="J21" sqref="J21"/>
    </sheetView>
  </sheetViews>
  <sheetFormatPr baseColWidth="10" defaultColWidth="8.83203125" defaultRowHeight="15" x14ac:dyDescent="0.2"/>
  <cols>
    <col min="1" max="1" width="4.1640625" style="1" customWidth="1"/>
    <col min="2" max="2" width="23.6640625" style="1" customWidth="1"/>
    <col min="3" max="3" width="91.33203125" style="1" customWidth="1"/>
    <col min="4" max="5" width="14.5" style="1" customWidth="1"/>
    <col min="6" max="16384" width="8.83203125" style="1"/>
  </cols>
  <sheetData>
    <row r="1" spans="2:5" ht="16" thickBot="1" x14ac:dyDescent="0.25"/>
    <row r="2" spans="2:5" x14ac:dyDescent="0.2">
      <c r="B2" s="33" t="s">
        <v>127</v>
      </c>
      <c r="C2" s="43"/>
      <c r="D2" s="44"/>
      <c r="E2" s="45" t="s">
        <v>108</v>
      </c>
    </row>
    <row r="3" spans="2:5" x14ac:dyDescent="0.2">
      <c r="B3" s="2" t="s">
        <v>64</v>
      </c>
      <c r="C3" s="39"/>
      <c r="D3" s="39"/>
      <c r="E3" s="3"/>
    </row>
    <row r="4" spans="2:5" x14ac:dyDescent="0.2">
      <c r="B4" s="2" t="s">
        <v>104</v>
      </c>
      <c r="C4" s="39"/>
      <c r="D4" s="39"/>
      <c r="E4" s="3"/>
    </row>
    <row r="5" spans="2:5" ht="16" thickBot="1" x14ac:dyDescent="0.25">
      <c r="B5" s="32" t="s">
        <v>107</v>
      </c>
      <c r="C5" s="40"/>
      <c r="D5" s="46"/>
      <c r="E5" s="47"/>
    </row>
    <row r="6" spans="2:5" ht="16" thickBot="1" x14ac:dyDescent="0.25">
      <c r="B6" s="41"/>
      <c r="C6" s="48"/>
      <c r="E6" s="42"/>
    </row>
    <row r="7" spans="2:5" ht="16" thickBot="1" x14ac:dyDescent="0.25">
      <c r="B7" s="4" t="s">
        <v>55</v>
      </c>
      <c r="C7" s="49" t="s">
        <v>101</v>
      </c>
      <c r="E7" s="5"/>
    </row>
    <row r="8" spans="2:5" ht="16" thickBot="1" x14ac:dyDescent="0.25">
      <c r="B8" s="6" t="s">
        <v>63</v>
      </c>
      <c r="C8" s="6" t="s">
        <v>62</v>
      </c>
      <c r="D8" s="37" t="s">
        <v>100</v>
      </c>
      <c r="E8" s="38"/>
    </row>
    <row r="9" spans="2:5" x14ac:dyDescent="0.2">
      <c r="B9" s="7" t="s">
        <v>13</v>
      </c>
      <c r="C9" s="10" t="s">
        <v>66</v>
      </c>
      <c r="D9" s="8">
        <f>SUM(28+(58/60)+(36/3600))</f>
        <v>28.976666666666667</v>
      </c>
      <c r="E9" s="9">
        <f>SUM(81+(33/60)+(1/3600))</f>
        <v>81.550277777777779</v>
      </c>
    </row>
    <row r="10" spans="2:5" x14ac:dyDescent="0.2">
      <c r="B10" s="11" t="s">
        <v>12</v>
      </c>
      <c r="C10" s="14" t="s">
        <v>95</v>
      </c>
      <c r="D10" s="12">
        <f>SUM(28+(58/60)+(56/3600))</f>
        <v>28.982222222222219</v>
      </c>
      <c r="E10" s="13">
        <f>SUM(81+(33/60)+(3/3600))</f>
        <v>81.55083333333333</v>
      </c>
    </row>
    <row r="11" spans="2:5" ht="16" thickBot="1" x14ac:dyDescent="0.25">
      <c r="B11" s="15"/>
      <c r="C11" s="34" t="s">
        <v>110</v>
      </c>
      <c r="D11" s="16"/>
      <c r="E11" s="17"/>
    </row>
    <row r="12" spans="2:5" ht="16" thickBot="1" x14ac:dyDescent="0.25">
      <c r="B12" s="4" t="s">
        <v>56</v>
      </c>
      <c r="C12" s="15"/>
      <c r="D12" s="16"/>
      <c r="E12" s="17"/>
    </row>
    <row r="13" spans="2:5" ht="16" thickBot="1" x14ac:dyDescent="0.25">
      <c r="B13" s="6" t="s">
        <v>63</v>
      </c>
      <c r="C13" s="6" t="s">
        <v>62</v>
      </c>
      <c r="D13" s="37" t="s">
        <v>65</v>
      </c>
      <c r="E13" s="38"/>
    </row>
    <row r="14" spans="2:5" x14ac:dyDescent="0.2">
      <c r="B14" s="11" t="s">
        <v>14</v>
      </c>
      <c r="C14" s="14" t="s">
        <v>67</v>
      </c>
      <c r="D14" s="12">
        <f>SUM(28+(59/60)+(3/3600))</f>
        <v>28.984166666666667</v>
      </c>
      <c r="E14" s="13">
        <f>SUM(81+(33/60)+(18/3600))</f>
        <v>81.554999999999993</v>
      </c>
    </row>
    <row r="15" spans="2:5" x14ac:dyDescent="0.2">
      <c r="B15" s="11" t="s">
        <v>16</v>
      </c>
      <c r="C15" s="14" t="s">
        <v>15</v>
      </c>
      <c r="D15" s="12">
        <f>SUM(28+(58/60)+(58/3600))</f>
        <v>28.982777777777777</v>
      </c>
      <c r="E15" s="13">
        <f>SUM(81+(33/60)+(41/3600))</f>
        <v>81.561388888888885</v>
      </c>
    </row>
    <row r="16" spans="2:5" x14ac:dyDescent="0.2">
      <c r="B16" s="11" t="s">
        <v>17</v>
      </c>
      <c r="C16" s="14" t="s">
        <v>68</v>
      </c>
      <c r="D16" s="12">
        <f>SUM(28+(59/60)+(19/3600))</f>
        <v>28.988611111111112</v>
      </c>
      <c r="E16" s="13">
        <f>SUM(81+(34/60)+(6/3600))</f>
        <v>81.568333333333328</v>
      </c>
    </row>
    <row r="17" spans="2:5" x14ac:dyDescent="0.2">
      <c r="B17" s="11" t="s">
        <v>18</v>
      </c>
      <c r="C17" s="14" t="s">
        <v>69</v>
      </c>
      <c r="D17" s="12">
        <f>SUM(28+(59/60)+(23/3600))</f>
        <v>28.989722222222223</v>
      </c>
      <c r="E17" s="13">
        <f>SUM(81+(34/60)+(25/3600))</f>
        <v>81.573611111111106</v>
      </c>
    </row>
    <row r="18" spans="2:5" x14ac:dyDescent="0.2">
      <c r="B18" s="11" t="s">
        <v>19</v>
      </c>
      <c r="C18" s="14" t="s">
        <v>70</v>
      </c>
      <c r="D18" s="12">
        <f>SUM(28+(59/60)+(42/3600))</f>
        <v>28.995000000000001</v>
      </c>
      <c r="E18" s="13">
        <f>SUM(81+(34/60)+(21/3600))</f>
        <v>81.572499999999991</v>
      </c>
    </row>
    <row r="19" spans="2:5" x14ac:dyDescent="0.2">
      <c r="B19" s="11" t="s">
        <v>20</v>
      </c>
      <c r="C19" s="14" t="s">
        <v>71</v>
      </c>
      <c r="D19" s="12">
        <f>SUM(29+(0/60)+(6/3600))</f>
        <v>29.001666666666665</v>
      </c>
      <c r="E19" s="13">
        <f>SUM(81+(34/60)+(2/3600))</f>
        <v>81.567222222222213</v>
      </c>
    </row>
    <row r="20" spans="2:5" x14ac:dyDescent="0.2">
      <c r="B20" s="11" t="s">
        <v>21</v>
      </c>
      <c r="C20" s="14" t="s">
        <v>72</v>
      </c>
      <c r="D20" s="12">
        <f>SUM(29+(0/60)+(22/3600))</f>
        <v>29.00611111111111</v>
      </c>
      <c r="E20" s="13">
        <f>SUM(81+(34/60)+(0/3600))</f>
        <v>81.566666666666663</v>
      </c>
    </row>
    <row r="21" spans="2:5" x14ac:dyDescent="0.2">
      <c r="B21" s="11" t="s">
        <v>22</v>
      </c>
      <c r="C21" s="14" t="s">
        <v>73</v>
      </c>
      <c r="D21" s="12">
        <f>SUM(29+(9/60)+(31/3600))</f>
        <v>29.15861111111111</v>
      </c>
      <c r="E21" s="13">
        <f>SUM(81+(34/60)+(3/3600))</f>
        <v>81.567499999999995</v>
      </c>
    </row>
    <row r="22" spans="2:5" x14ac:dyDescent="0.2">
      <c r="B22" s="11" t="s">
        <v>23</v>
      </c>
      <c r="C22" s="14" t="s">
        <v>74</v>
      </c>
      <c r="D22" s="12">
        <f>SUM(29+(1/60)+(1/3600))</f>
        <v>29.016944444444444</v>
      </c>
      <c r="E22" s="13">
        <f>SUM(81+(34/60)+(4/3600))</f>
        <v>81.567777777777778</v>
      </c>
    </row>
    <row r="23" spans="2:5" x14ac:dyDescent="0.2">
      <c r="B23" s="11" t="s">
        <v>23</v>
      </c>
      <c r="C23" s="14" t="s">
        <v>75</v>
      </c>
      <c r="D23" s="12">
        <f>SUM(29+(1/60)+(1/3600))</f>
        <v>29.016944444444444</v>
      </c>
      <c r="E23" s="13">
        <f>SUM(81+(34/60)+(4/3600))</f>
        <v>81.567777777777778</v>
      </c>
    </row>
    <row r="24" spans="2:5" ht="16" thickBot="1" x14ac:dyDescent="0.25">
      <c r="B24" s="18"/>
      <c r="C24" s="34" t="s">
        <v>109</v>
      </c>
      <c r="D24" s="19"/>
      <c r="E24" s="20"/>
    </row>
    <row r="25" spans="2:5" ht="16" thickBot="1" x14ac:dyDescent="0.25">
      <c r="B25" s="21" t="s">
        <v>57</v>
      </c>
      <c r="C25" s="18"/>
      <c r="D25" s="16"/>
      <c r="E25" s="17"/>
    </row>
    <row r="26" spans="2:5" ht="16" thickBot="1" x14ac:dyDescent="0.25">
      <c r="B26" s="6" t="s">
        <v>63</v>
      </c>
      <c r="C26" s="6" t="s">
        <v>62</v>
      </c>
      <c r="D26" s="37" t="s">
        <v>65</v>
      </c>
      <c r="E26" s="38"/>
    </row>
    <row r="27" spans="2:5" x14ac:dyDescent="0.2">
      <c r="B27" s="11" t="s">
        <v>34</v>
      </c>
      <c r="C27" s="14" t="s">
        <v>79</v>
      </c>
      <c r="D27" s="12">
        <f>SUM(29+(1/60)+(20/3600))</f>
        <v>29.022222222222222</v>
      </c>
      <c r="E27" s="13">
        <f>SUM(81+(34/60)+(5/3600))</f>
        <v>81.568055555555546</v>
      </c>
    </row>
    <row r="28" spans="2:5" x14ac:dyDescent="0.2">
      <c r="B28" s="11" t="s">
        <v>0</v>
      </c>
      <c r="C28" s="14" t="s">
        <v>76</v>
      </c>
      <c r="D28" s="12">
        <f t="shared" ref="D28" si="0">SUM(29+(1/60)+(20/3600))</f>
        <v>29.022222222222222</v>
      </c>
      <c r="E28" s="13">
        <f>SUM(81+(34/60)+(2/3600))</f>
        <v>81.567222222222213</v>
      </c>
    </row>
    <row r="29" spans="2:5" x14ac:dyDescent="0.2">
      <c r="B29" s="11" t="s">
        <v>1</v>
      </c>
      <c r="C29" s="14" t="s">
        <v>77</v>
      </c>
      <c r="D29" s="12">
        <f>SUM(29+(1/60)+(19/3600))</f>
        <v>29.021944444444443</v>
      </c>
      <c r="E29" s="13">
        <f>SUM(81+(33/60)+(52/3600))</f>
        <v>81.564444444444447</v>
      </c>
    </row>
    <row r="30" spans="2:5" x14ac:dyDescent="0.2">
      <c r="B30" s="11" t="s">
        <v>2</v>
      </c>
      <c r="C30" s="14" t="s">
        <v>78</v>
      </c>
      <c r="D30" s="12">
        <f>SUM(29+(1/60)+(19/3600))</f>
        <v>29.021944444444443</v>
      </c>
      <c r="E30" s="13">
        <f>SUM(81+(33/60)+(48/3600))</f>
        <v>81.563333333333333</v>
      </c>
    </row>
    <row r="31" spans="2:5" ht="16" thickBot="1" x14ac:dyDescent="0.25">
      <c r="B31" s="18"/>
      <c r="C31" s="35" t="s">
        <v>113</v>
      </c>
      <c r="D31" s="19"/>
      <c r="E31" s="20"/>
    </row>
    <row r="32" spans="2:5" ht="16" thickBot="1" x14ac:dyDescent="0.25">
      <c r="B32" s="4" t="s">
        <v>58</v>
      </c>
      <c r="C32" s="18"/>
      <c r="D32" s="16"/>
      <c r="E32" s="17"/>
    </row>
    <row r="33" spans="2:5" ht="16" thickBot="1" x14ac:dyDescent="0.25">
      <c r="B33" s="6" t="s">
        <v>63</v>
      </c>
      <c r="C33" s="6" t="s">
        <v>62</v>
      </c>
      <c r="D33" s="37" t="s">
        <v>65</v>
      </c>
      <c r="E33" s="38"/>
    </row>
    <row r="34" spans="2:5" x14ac:dyDescent="0.2">
      <c r="B34" s="11" t="s">
        <v>3</v>
      </c>
      <c r="C34" s="14" t="s">
        <v>80</v>
      </c>
      <c r="D34" s="12">
        <f>SUM(29+(1/60)+(45/3600))</f>
        <v>29.029166666666665</v>
      </c>
      <c r="E34" s="13">
        <f>SUM(81+(33/60)+(50/3600))</f>
        <v>81.563888888888883</v>
      </c>
    </row>
    <row r="35" spans="2:5" x14ac:dyDescent="0.2">
      <c r="B35" s="11" t="s">
        <v>4</v>
      </c>
      <c r="C35" s="14" t="s">
        <v>81</v>
      </c>
      <c r="D35" s="12">
        <f>SUM(29+(1/60)+(5/3600))</f>
        <v>29.018055555555556</v>
      </c>
      <c r="E35" s="13">
        <f>SUM(81+(33/60)+(23/3600))</f>
        <v>81.55638888888889</v>
      </c>
    </row>
    <row r="36" spans="2:5" x14ac:dyDescent="0.2">
      <c r="B36" s="11" t="s">
        <v>6</v>
      </c>
      <c r="C36" s="14" t="s">
        <v>5</v>
      </c>
      <c r="D36" s="12">
        <f>SUM(29+(0/60)+(23/3600))</f>
        <v>29.006388888888889</v>
      </c>
      <c r="E36" s="13">
        <f>SUM(81+(33/60)+(23/3600))</f>
        <v>81.55638888888889</v>
      </c>
    </row>
    <row r="37" spans="2:5" x14ac:dyDescent="0.2">
      <c r="B37" s="11" t="s">
        <v>7</v>
      </c>
      <c r="C37" s="14" t="s">
        <v>82</v>
      </c>
      <c r="D37" s="12">
        <f>SUM(29+(0/60)+(3/3600))</f>
        <v>29.000833333333333</v>
      </c>
      <c r="E37" s="13">
        <f>SUM(81+(33/60)+(7/3600))</f>
        <v>81.551944444444445</v>
      </c>
    </row>
    <row r="38" spans="2:5" x14ac:dyDescent="0.2">
      <c r="B38" s="11" t="s">
        <v>9</v>
      </c>
      <c r="C38" s="14" t="s">
        <v>8</v>
      </c>
      <c r="D38" s="12">
        <f>SUM(28+(59/60)+(34/3600))</f>
        <v>28.992777777777778</v>
      </c>
      <c r="E38" s="13">
        <f>SUM(81+(32/60)+(54/3600))</f>
        <v>81.548333333333332</v>
      </c>
    </row>
    <row r="39" spans="2:5" x14ac:dyDescent="0.2">
      <c r="B39" s="11" t="s">
        <v>10</v>
      </c>
      <c r="C39" s="14" t="s">
        <v>83</v>
      </c>
      <c r="D39" s="12">
        <f>SUM(28+(59/60)+(28/3600))</f>
        <v>28.991111111111113</v>
      </c>
      <c r="E39" s="13">
        <f>SUM(81+(32/60)+(57/3600))</f>
        <v>81.549166666666665</v>
      </c>
    </row>
    <row r="40" spans="2:5" x14ac:dyDescent="0.2">
      <c r="B40" s="11" t="s">
        <v>11</v>
      </c>
      <c r="C40" s="14" t="s">
        <v>84</v>
      </c>
      <c r="D40" s="12">
        <f>SUM(28+(59/60)+(2/3600))</f>
        <v>28.983888888888888</v>
      </c>
      <c r="E40" s="13">
        <f>SUM(81+(33/60)+(3/3600))</f>
        <v>81.55083333333333</v>
      </c>
    </row>
    <row r="41" spans="2:5" ht="16" thickBot="1" x14ac:dyDescent="0.25">
      <c r="B41" s="15"/>
      <c r="C41" s="35" t="s">
        <v>111</v>
      </c>
      <c r="D41" s="16"/>
      <c r="E41" s="17"/>
    </row>
    <row r="42" spans="2:5" ht="16" thickBot="1" x14ac:dyDescent="0.25">
      <c r="B42" s="21" t="s">
        <v>59</v>
      </c>
      <c r="C42" s="15"/>
      <c r="D42" s="16"/>
      <c r="E42" s="20"/>
    </row>
    <row r="43" spans="2:5" ht="16" thickBot="1" x14ac:dyDescent="0.25">
      <c r="B43" s="6" t="s">
        <v>63</v>
      </c>
      <c r="C43" s="6" t="s">
        <v>62</v>
      </c>
      <c r="D43" s="37" t="s">
        <v>65</v>
      </c>
      <c r="E43" s="38"/>
    </row>
    <row r="44" spans="2:5" x14ac:dyDescent="0.2">
      <c r="B44" s="11" t="s">
        <v>24</v>
      </c>
      <c r="C44" s="14" t="s">
        <v>85</v>
      </c>
      <c r="D44" s="12">
        <f>SUM(29+(1/60)+(29/3600))</f>
        <v>29.02472222222222</v>
      </c>
      <c r="E44" s="13">
        <f>SUM(81+(34/60)+(11/3600))</f>
        <v>81.569722222222225</v>
      </c>
    </row>
    <row r="45" spans="2:5" x14ac:dyDescent="0.2">
      <c r="B45" s="11" t="s">
        <v>25</v>
      </c>
      <c r="C45" s="14" t="s">
        <v>86</v>
      </c>
      <c r="D45" s="12">
        <f>SUM(29+(1/60)+(35/3600))</f>
        <v>29.026388888888889</v>
      </c>
      <c r="E45" s="13">
        <f>SUM(81+(34/60)+(23/3600))</f>
        <v>81.573055555555555</v>
      </c>
    </row>
    <row r="46" spans="2:5" x14ac:dyDescent="0.2">
      <c r="B46" s="11" t="s">
        <v>26</v>
      </c>
      <c r="C46" s="14" t="s">
        <v>90</v>
      </c>
      <c r="D46" s="12">
        <f>SUM(29+(1/60)+(54/3600))</f>
        <v>29.031666666666666</v>
      </c>
      <c r="E46" s="13">
        <f>SUM(81+(34/60)+(47/3600))</f>
        <v>81.579722222222216</v>
      </c>
    </row>
    <row r="47" spans="2:5" x14ac:dyDescent="0.2">
      <c r="B47" s="11" t="s">
        <v>27</v>
      </c>
      <c r="C47" s="14" t="s">
        <v>87</v>
      </c>
      <c r="D47" s="12">
        <f>SUM(29+(1/60)+(55/3600))</f>
        <v>29.031944444444445</v>
      </c>
      <c r="E47" s="13">
        <f>SUM(81+(35/60)+(4/3600))</f>
        <v>81.584444444444443</v>
      </c>
    </row>
    <row r="48" spans="2:5" x14ac:dyDescent="0.2">
      <c r="B48" s="11" t="s">
        <v>28</v>
      </c>
      <c r="C48" s="14" t="s">
        <v>88</v>
      </c>
      <c r="D48" s="12">
        <f>SUM(29+(1/60)+(55/3600))</f>
        <v>29.031944444444445</v>
      </c>
      <c r="E48" s="13">
        <f>SUM(81+(35/60)+(10/3600))</f>
        <v>81.586111111111109</v>
      </c>
    </row>
    <row r="49" spans="2:5" x14ac:dyDescent="0.2">
      <c r="B49" s="11" t="s">
        <v>29</v>
      </c>
      <c r="C49" s="14" t="s">
        <v>103</v>
      </c>
      <c r="D49" s="12">
        <f>SUM(29+(1/60)+(56/3600))</f>
        <v>29.03222222222222</v>
      </c>
      <c r="E49" s="13">
        <f>SUM(81+(35/60)+(23/3600))</f>
        <v>81.589722222222221</v>
      </c>
    </row>
    <row r="50" spans="2:5" x14ac:dyDescent="0.2">
      <c r="B50" s="11" t="s">
        <v>30</v>
      </c>
      <c r="C50" s="30" t="s">
        <v>114</v>
      </c>
      <c r="D50" s="12">
        <f>SUM(29+(2/60)+(24/3600))</f>
        <v>29.040000000000003</v>
      </c>
      <c r="E50" s="13">
        <f>SUM(81+(35/60)+(21/3600))</f>
        <v>81.589166666666657</v>
      </c>
    </row>
    <row r="51" spans="2:5" x14ac:dyDescent="0.2">
      <c r="B51" s="11" t="s">
        <v>31</v>
      </c>
      <c r="C51" s="14" t="s">
        <v>89</v>
      </c>
      <c r="D51" s="12">
        <f>SUM(29+(2/60)+(29/3600))</f>
        <v>29.041388888888889</v>
      </c>
      <c r="E51" s="13">
        <f>SUM(81+(35/60)+(20/3600))</f>
        <v>81.588888888888889</v>
      </c>
    </row>
    <row r="52" spans="2:5" x14ac:dyDescent="0.2">
      <c r="B52" s="11" t="s">
        <v>32</v>
      </c>
      <c r="C52" s="14" t="s">
        <v>91</v>
      </c>
      <c r="D52" s="12">
        <f>SUM(29+(2/60)+(55/3600))</f>
        <v>29.048611111111114</v>
      </c>
      <c r="E52" s="13">
        <f>SUM(81+(35/60)+(6/3600))</f>
        <v>81.584999999999994</v>
      </c>
    </row>
    <row r="53" spans="2:5" x14ac:dyDescent="0.2">
      <c r="B53" s="11" t="s">
        <v>35</v>
      </c>
      <c r="C53" s="14" t="s">
        <v>36</v>
      </c>
      <c r="D53" s="12">
        <f>SUM(29+(3/60)+(13/3600))</f>
        <v>29.053611111111113</v>
      </c>
      <c r="E53" s="13">
        <f>SUM(81+(35/60)+(6/3600))</f>
        <v>81.584999999999994</v>
      </c>
    </row>
    <row r="54" spans="2:5" x14ac:dyDescent="0.2">
      <c r="B54" s="11" t="s">
        <v>37</v>
      </c>
      <c r="C54" s="14" t="s">
        <v>92</v>
      </c>
      <c r="D54" s="12">
        <f>SUM(29+(3/60)+(30/3600))</f>
        <v>29.058333333333334</v>
      </c>
      <c r="E54" s="13">
        <f>SUM(81+(35/60)+(0/3600))</f>
        <v>81.583333333333329</v>
      </c>
    </row>
    <row r="55" spans="2:5" x14ac:dyDescent="0.2">
      <c r="B55" s="11" t="s">
        <v>38</v>
      </c>
      <c r="C55" s="14" t="s">
        <v>93</v>
      </c>
      <c r="D55" s="12">
        <f>SUM(29+(3/60)+(41/3600))</f>
        <v>29.061388888888889</v>
      </c>
      <c r="E55" s="13">
        <f>SUM(81+(35/60)+(7/3600))</f>
        <v>81.585277777777776</v>
      </c>
    </row>
    <row r="56" spans="2:5" x14ac:dyDescent="0.2">
      <c r="B56" s="11" t="s">
        <v>39</v>
      </c>
      <c r="C56" s="14" t="s">
        <v>94</v>
      </c>
      <c r="D56" s="12">
        <f>SUM(29+(4/60)+(3/3600))</f>
        <v>29.067499999999999</v>
      </c>
      <c r="E56" s="13">
        <f>SUM(81+(34/60)+(53/3600))</f>
        <v>81.581388888888881</v>
      </c>
    </row>
    <row r="57" spans="2:5" ht="16" thickBot="1" x14ac:dyDescent="0.25">
      <c r="B57" s="15"/>
      <c r="C57" s="35" t="s">
        <v>112</v>
      </c>
      <c r="D57" s="16"/>
      <c r="E57" s="17"/>
    </row>
    <row r="58" spans="2:5" ht="16" thickBot="1" x14ac:dyDescent="0.25">
      <c r="B58" s="4" t="s">
        <v>60</v>
      </c>
      <c r="C58" s="15"/>
      <c r="D58" s="16"/>
      <c r="E58" s="17"/>
    </row>
    <row r="59" spans="2:5" ht="16" thickBot="1" x14ac:dyDescent="0.25">
      <c r="B59" s="6" t="s">
        <v>63</v>
      </c>
      <c r="C59" s="6" t="s">
        <v>62</v>
      </c>
      <c r="D59" s="37" t="s">
        <v>65</v>
      </c>
      <c r="E59" s="38"/>
    </row>
    <row r="60" spans="2:5" x14ac:dyDescent="0.2">
      <c r="B60" s="11" t="s">
        <v>33</v>
      </c>
      <c r="C60" s="14" t="s">
        <v>96</v>
      </c>
      <c r="D60" s="12">
        <f>SUM(29+(4/60)+(7/3600))</f>
        <v>29.06861111111111</v>
      </c>
      <c r="E60" s="13">
        <f>SUM(81+(34/60)+(52/3600))</f>
        <v>81.581111111111113</v>
      </c>
    </row>
    <row r="61" spans="2:5" x14ac:dyDescent="0.2">
      <c r="B61" s="11" t="s">
        <v>40</v>
      </c>
      <c r="C61" s="14" t="s">
        <v>97</v>
      </c>
      <c r="D61" s="12">
        <f>SUM(29+(4/60)+(9/3600))</f>
        <v>29.069166666666668</v>
      </c>
      <c r="E61" s="13">
        <f t="shared" ref="E61" si="1">SUM(81+(34/60)+(52/3600))</f>
        <v>81.581111111111113</v>
      </c>
    </row>
    <row r="62" spans="2:5" x14ac:dyDescent="0.2">
      <c r="B62" s="11" t="s">
        <v>41</v>
      </c>
      <c r="C62" s="14" t="s">
        <v>98</v>
      </c>
      <c r="D62" s="12">
        <f>SUM(29+(4/60)+(13/3600))</f>
        <v>29.070277777777779</v>
      </c>
      <c r="E62" s="13">
        <f>SUM(81+(34/60)+(53/3600))</f>
        <v>81.581388888888881</v>
      </c>
    </row>
    <row r="63" spans="2:5" x14ac:dyDescent="0.2">
      <c r="B63" s="11" t="s">
        <v>43</v>
      </c>
      <c r="C63" s="14" t="s">
        <v>42</v>
      </c>
      <c r="D63" s="12">
        <f t="shared" ref="D63:D65" si="2">SUM(29+(4/60)+(3/3600))</f>
        <v>29.067499999999999</v>
      </c>
      <c r="E63" s="13">
        <f>SUM(81+(34/60)+(48/3600))</f>
        <v>81.58</v>
      </c>
    </row>
    <row r="64" spans="2:5" x14ac:dyDescent="0.2">
      <c r="B64" s="11" t="s">
        <v>45</v>
      </c>
      <c r="C64" s="14" t="s">
        <v>99</v>
      </c>
      <c r="D64" s="12">
        <f t="shared" si="2"/>
        <v>29.067499999999999</v>
      </c>
      <c r="E64" s="13">
        <f>SUM(81+(34/60)+(45/3600))</f>
        <v>81.579166666666666</v>
      </c>
    </row>
    <row r="65" spans="2:5" x14ac:dyDescent="0.2">
      <c r="B65" s="11" t="s">
        <v>47</v>
      </c>
      <c r="C65" s="14" t="s">
        <v>102</v>
      </c>
      <c r="D65" s="12">
        <f t="shared" si="2"/>
        <v>29.067499999999999</v>
      </c>
      <c r="E65" s="13">
        <f>SUM(81+(34/60)+(40/3600))</f>
        <v>81.577777777777769</v>
      </c>
    </row>
    <row r="66" spans="2:5" ht="16" thickBot="1" x14ac:dyDescent="0.25">
      <c r="B66" s="15"/>
      <c r="C66" s="35" t="s">
        <v>113</v>
      </c>
      <c r="D66" s="16"/>
      <c r="E66" s="17"/>
    </row>
    <row r="67" spans="2:5" ht="16" thickBot="1" x14ac:dyDescent="0.25">
      <c r="B67" s="4" t="s">
        <v>61</v>
      </c>
      <c r="C67" s="15"/>
      <c r="D67" s="16"/>
      <c r="E67" s="17"/>
    </row>
    <row r="68" spans="2:5" ht="16" thickBot="1" x14ac:dyDescent="0.25">
      <c r="B68" s="6" t="s">
        <v>63</v>
      </c>
      <c r="C68" s="6" t="s">
        <v>62</v>
      </c>
      <c r="D68" s="37" t="s">
        <v>65</v>
      </c>
      <c r="E68" s="38"/>
    </row>
    <row r="69" spans="2:5" x14ac:dyDescent="0.2">
      <c r="B69" s="11" t="s">
        <v>44</v>
      </c>
      <c r="C69" s="30" t="s">
        <v>125</v>
      </c>
      <c r="D69" s="12">
        <f>SUM(29+(4/60)+(1/3600))</f>
        <v>29.066944444444445</v>
      </c>
      <c r="E69" s="13">
        <f>SUM(81+(34/60)+(52/3600))</f>
        <v>81.581111111111113</v>
      </c>
    </row>
    <row r="70" spans="2:5" x14ac:dyDescent="0.2">
      <c r="B70" s="11" t="s">
        <v>46</v>
      </c>
      <c r="C70" s="30" t="s">
        <v>124</v>
      </c>
      <c r="D70" s="12">
        <f>SUM(29+(3/60)+(22/3600))</f>
        <v>29.056111111111111</v>
      </c>
      <c r="E70" s="13">
        <f>SUM(81+(34/60)+(44/3600))</f>
        <v>81.578888888888883</v>
      </c>
    </row>
    <row r="71" spans="2:5" x14ac:dyDescent="0.2">
      <c r="B71" s="11" t="s">
        <v>48</v>
      </c>
      <c r="C71" s="30" t="s">
        <v>123</v>
      </c>
      <c r="D71" s="12">
        <f>SUM(29+(3/60)+(10/3600))</f>
        <v>29.052777777777777</v>
      </c>
      <c r="E71" s="13">
        <f>SUM(81+(34/60)+(28/3600))</f>
        <v>81.574444444444438</v>
      </c>
    </row>
    <row r="72" spans="2:5" x14ac:dyDescent="0.2">
      <c r="B72" s="11" t="s">
        <v>54</v>
      </c>
      <c r="C72" s="30" t="s">
        <v>122</v>
      </c>
      <c r="D72" s="12">
        <f>SUM(29+(2/60)+(45/3600))</f>
        <v>29.045833333333334</v>
      </c>
      <c r="E72" s="13">
        <f>SUM(81+(34/60)+(11/3600))</f>
        <v>81.569722222222225</v>
      </c>
    </row>
    <row r="73" spans="2:5" x14ac:dyDescent="0.2">
      <c r="B73" s="11" t="s">
        <v>53</v>
      </c>
      <c r="C73" s="30" t="s">
        <v>121</v>
      </c>
      <c r="D73" s="12">
        <f>SUM(29+(2/60)+(42/3600))</f>
        <v>29.045000000000002</v>
      </c>
      <c r="E73" s="13">
        <f>SUM(81+(34/60)+(11/3600))</f>
        <v>81.569722222222225</v>
      </c>
    </row>
    <row r="74" spans="2:5" x14ac:dyDescent="0.2">
      <c r="B74" s="11" t="s">
        <v>52</v>
      </c>
      <c r="C74" s="30" t="s">
        <v>120</v>
      </c>
      <c r="D74" s="12">
        <f>SUM(29+(2/60)+(19/3600))</f>
        <v>29.038611111111113</v>
      </c>
      <c r="E74" s="13">
        <f>SUM(81+(34/60)+(31/3600))</f>
        <v>81.575277777777771</v>
      </c>
    </row>
    <row r="75" spans="2:5" x14ac:dyDescent="0.2">
      <c r="B75" s="11" t="s">
        <v>51</v>
      </c>
      <c r="C75" s="30" t="s">
        <v>119</v>
      </c>
      <c r="D75" s="12">
        <f>SUM(29+(1/60)+(58/3600))</f>
        <v>29.032777777777778</v>
      </c>
      <c r="E75" s="13">
        <f>SUM(81+(34/60)+(9/3600))</f>
        <v>81.569166666666661</v>
      </c>
    </row>
    <row r="76" spans="2:5" x14ac:dyDescent="0.2">
      <c r="B76" s="29" t="s">
        <v>105</v>
      </c>
      <c r="C76" s="30" t="s">
        <v>115</v>
      </c>
      <c r="D76" s="12">
        <f t="shared" ref="D76" si="3">SUM(29+(1/60)+(58/3600))</f>
        <v>29.032777777777778</v>
      </c>
      <c r="E76" s="13">
        <f>SUM(81+(34/60)+(3/3600))</f>
        <v>81.567499999999995</v>
      </c>
    </row>
    <row r="77" spans="2:5" x14ac:dyDescent="0.2">
      <c r="B77" s="29" t="s">
        <v>106</v>
      </c>
      <c r="C77" s="30" t="s">
        <v>116</v>
      </c>
      <c r="D77" s="12">
        <f>SUM(29+(1/60)+(55/3600))</f>
        <v>29.031944444444445</v>
      </c>
      <c r="E77" s="13">
        <f>SUM(81+(34/60)+(4/3600))</f>
        <v>81.567777777777778</v>
      </c>
    </row>
    <row r="78" spans="2:5" x14ac:dyDescent="0.2">
      <c r="B78" s="11" t="s">
        <v>50</v>
      </c>
      <c r="C78" s="30" t="s">
        <v>117</v>
      </c>
      <c r="D78" s="12">
        <f>SUM(29+(1/60)+(36/3600))</f>
        <v>29.026666666666667</v>
      </c>
      <c r="E78" s="13">
        <f>SUM(81+(34/60)+(44/3600))</f>
        <v>81.578888888888883</v>
      </c>
    </row>
    <row r="79" spans="2:5" x14ac:dyDescent="0.2">
      <c r="B79" s="22" t="s">
        <v>49</v>
      </c>
      <c r="C79" s="31" t="s">
        <v>118</v>
      </c>
      <c r="D79" s="23">
        <v>29.02472222222222</v>
      </c>
      <c r="E79" s="24">
        <v>81.567499999999995</v>
      </c>
    </row>
    <row r="80" spans="2:5" x14ac:dyDescent="0.2">
      <c r="B80" s="22"/>
      <c r="C80" s="35" t="s">
        <v>109</v>
      </c>
      <c r="D80" s="23"/>
      <c r="E80" s="24"/>
    </row>
    <row r="81" spans="2:5" x14ac:dyDescent="0.2">
      <c r="B81" s="22"/>
      <c r="C81" s="31"/>
      <c r="D81" s="23"/>
      <c r="E81" s="24"/>
    </row>
    <row r="82" spans="2:5" ht="16" thickBot="1" x14ac:dyDescent="0.25">
      <c r="B82" s="25"/>
      <c r="C82" s="36" t="s">
        <v>126</v>
      </c>
      <c r="D82" s="26"/>
      <c r="E82" s="27"/>
    </row>
    <row r="96" spans="2:5" x14ac:dyDescent="0.2">
      <c r="B96" s="28"/>
    </row>
    <row r="100" spans="2:2" x14ac:dyDescent="0.2">
      <c r="B100" s="28"/>
    </row>
  </sheetData>
  <mergeCells count="7">
    <mergeCell ref="D59:E59"/>
    <mergeCell ref="D68:E68"/>
    <mergeCell ref="D8:E8"/>
    <mergeCell ref="D13:E13"/>
    <mergeCell ref="D26:E26"/>
    <mergeCell ref="D33:E33"/>
    <mergeCell ref="D43:E43"/>
  </mergeCells>
  <printOptions horizontalCentered="1" verticalCentered="1"/>
  <pageMargins left="0.25" right="0.25" top="0.5" bottom="0.5" header="0.3" footer="0.3"/>
  <pageSetup scale="88" fitToHeight="2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2017-09-28T18:30:53Z</cp:lastPrinted>
  <dcterms:created xsi:type="dcterms:W3CDTF">2017-09-28T13:04:43Z</dcterms:created>
  <dcterms:modified xsi:type="dcterms:W3CDTF">2017-10-23T16:26:17Z</dcterms:modified>
</cp:coreProperties>
</file>