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imer\Downloads\"/>
    </mc:Choice>
  </mc:AlternateContent>
  <xr:revisionPtr revIDLastSave="0" documentId="8_{99861800-6A8C-4C50-92D1-2C3FC321484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Sheet1!$A$2:$F$68</definedName>
  </definedNames>
  <calcPr calcId="191028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6" i="1"/>
  <c r="E56" i="1"/>
  <c r="F54" i="1"/>
  <c r="E54" i="1"/>
  <c r="F53" i="1"/>
  <c r="E53" i="1"/>
  <c r="F52" i="1"/>
  <c r="E52" i="1"/>
  <c r="F51" i="1"/>
  <c r="E51" i="1"/>
  <c r="F50" i="1"/>
  <c r="E50" i="1"/>
  <c r="F49" i="1"/>
  <c r="E49" i="1"/>
  <c r="F47" i="1"/>
  <c r="E47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2" i="1"/>
  <c r="E32" i="1"/>
  <c r="F31" i="1"/>
  <c r="E31" i="1"/>
  <c r="F30" i="1"/>
  <c r="E30" i="1"/>
  <c r="F28" i="1"/>
  <c r="E28" i="1"/>
  <c r="F27" i="1"/>
  <c r="E27" i="1"/>
  <c r="F26" i="1"/>
  <c r="E26" i="1"/>
  <c r="F25" i="1"/>
  <c r="E25" i="1"/>
  <c r="F23" i="1"/>
  <c r="E23" i="1"/>
  <c r="F22" i="1"/>
  <c r="E22" i="1"/>
  <c r="F21" i="1"/>
  <c r="E21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8" i="1"/>
  <c r="E8" i="1"/>
  <c r="F7" i="1"/>
  <c r="E7" i="1"/>
</calcChain>
</file>

<file path=xl/sharedStrings.xml><?xml version="1.0" encoding="utf-8"?>
<sst xmlns="http://schemas.openxmlformats.org/spreadsheetml/2006/main" count="139" uniqueCount="123">
  <si>
    <t>29.01.20 x 81.34.02</t>
  </si>
  <si>
    <t>29.01.19 x 81.33.52</t>
  </si>
  <si>
    <t>29.01.19 x 81.33.48</t>
  </si>
  <si>
    <t>29.01.45 x 81.33.50</t>
  </si>
  <si>
    <t>29.01.05 x 81.33.23</t>
  </si>
  <si>
    <t>Post 018 at a non-numbered road crossing just north of Big Sandy</t>
  </si>
  <si>
    <t>29.00.23 x 81.33.23</t>
  </si>
  <si>
    <t>29.00.03 x 81.33.07</t>
  </si>
  <si>
    <t>28.59.34 x 81.32.54</t>
  </si>
  <si>
    <t>28.59.28 x 81.32.57</t>
  </si>
  <si>
    <t>28.59.09 x 81.33.03</t>
  </si>
  <si>
    <t>28.58.56 x 81.33.03</t>
  </si>
  <si>
    <t>28.58.36 x 81.33.01</t>
  </si>
  <si>
    <t>28.59.03 x 81.33.18</t>
  </si>
  <si>
    <t>Posts 004A,B at road crossing 63</t>
  </si>
  <si>
    <t>28.58.58 x 81.33.41</t>
  </si>
  <si>
    <t>28.59.19 x 81.34.06</t>
  </si>
  <si>
    <t>28.59.23 x 81.34.25</t>
  </si>
  <si>
    <t>28.59.42 x 81.34.21</t>
  </si>
  <si>
    <t>29.00.06 x 81.34.02</t>
  </si>
  <si>
    <t>29.00.22 x 81.34.00</t>
  </si>
  <si>
    <t>29.09.31 x 81.34.03</t>
  </si>
  <si>
    <t>29.01.01 x 81.34.04</t>
  </si>
  <si>
    <t>29.01.29 x 81.34.11</t>
  </si>
  <si>
    <t>29.01.35 x 81.34.23</t>
  </si>
  <si>
    <t>29.01.54 x 81.34.47</t>
  </si>
  <si>
    <t>29.01.55 x 81.35.04</t>
  </si>
  <si>
    <t>29.01.55 x 81.35.10</t>
  </si>
  <si>
    <t>29.01.56 x 81.35.23</t>
  </si>
  <si>
    <t>29.02.24 x 81.35.21</t>
  </si>
  <si>
    <t>29.02.29 x 81.35.20</t>
  </si>
  <si>
    <t>29.02.55 x 81.35.06</t>
  </si>
  <si>
    <t>29.04.07 x 81.34.52</t>
  </si>
  <si>
    <t>29.01.20 x 81.34.05</t>
  </si>
  <si>
    <t>29.03.13 x 81.35.06</t>
  </si>
  <si>
    <t xml:space="preserve">Posts 032A,B at road crossing 10-1.0C </t>
  </si>
  <si>
    <t>29.03.30 x 81.35.00</t>
  </si>
  <si>
    <t>29.03.41 x 81.35.07</t>
  </si>
  <si>
    <t>29.04.03 x 81.34.53</t>
  </si>
  <si>
    <t>29.04.09 x 81.34.52</t>
  </si>
  <si>
    <t>29.04.13 x 81.34.53</t>
  </si>
  <si>
    <t>Post 039 where trail leaves fire break and heads into hammock</t>
  </si>
  <si>
    <t>29.04.15 x 81.34.48</t>
  </si>
  <si>
    <t>29.04.01 x 81.34.52</t>
  </si>
  <si>
    <t>29.04.23 x 81.34.45</t>
  </si>
  <si>
    <t>29.03.22 x 81.34.44</t>
  </si>
  <si>
    <t>29.04.41 x 81.34.40</t>
  </si>
  <si>
    <t>29.03.10 x 81.34.28</t>
  </si>
  <si>
    <t>29.01.29 x 81.34.03</t>
  </si>
  <si>
    <t>29.01.36 x 81.34.04</t>
  </si>
  <si>
    <t>29.01.58 x 81.34.09</t>
  </si>
  <si>
    <t>29.02.19 x 81.34.31</t>
  </si>
  <si>
    <t>29.02.42 x 81.34.11</t>
  </si>
  <si>
    <t>29.02.45 x 81.34.11</t>
  </si>
  <si>
    <t>Location Description</t>
  </si>
  <si>
    <t>Degrees Minutes Seconds</t>
  </si>
  <si>
    <t>Post Numbering Logic:</t>
  </si>
  <si>
    <t>Decimal Degrees</t>
  </si>
  <si>
    <t>Posts 001A,B at Clearwater Lake Trailhead</t>
  </si>
  <si>
    <t>Posts 003A,B at non-numbered road between Clearwater Lake Campground and FR-63</t>
  </si>
  <si>
    <t>Posts 005A,B at road crossing 42-16.6</t>
  </si>
  <si>
    <t>Posts 006A,B at road crossing 61-1.7</t>
  </si>
  <si>
    <t>Post 007 at road crossing 42-16.6</t>
  </si>
  <si>
    <t>Posts 008A,B at road crossing 08</t>
  </si>
  <si>
    <t>Post 009 at non-numbered road crossing by low spot to west of trail</t>
  </si>
  <si>
    <t>Post 010 at road crossing 63-2.1</t>
  </si>
  <si>
    <t>Post 013, 1st post east of West End Center Connector where trail branches off of non-numbered road</t>
  </si>
  <si>
    <t>Post 014, 1st post west of East End Center Connectpr where trail branches off of non-numbered road</t>
  </si>
  <si>
    <t>Posts 015A,B,C at East End Center Connector</t>
  </si>
  <si>
    <t>Posts 012A,B,C at West End Center Connector</t>
  </si>
  <si>
    <t>Posts 016A,B at OHV crossing just south of East End Center Connector</t>
  </si>
  <si>
    <t>Post 017 at 1st non-numbered road south OHV trail</t>
  </si>
  <si>
    <t>Posts 021A,B at the Florida Trail crossing</t>
  </si>
  <si>
    <t>Posts 022A,B at corner of private property to east, just north of South Fork</t>
  </si>
  <si>
    <t>Posts 023A,B at road crossing 63 just south of 5-point and just north of West End Center Connector</t>
  </si>
  <si>
    <t>Posts 024A,B at road crossing 63-5.5A west of 5-point</t>
  </si>
  <si>
    <t>Post 026, no road crossing here, is 0.33 miles west of post 025B</t>
  </si>
  <si>
    <t>Post 027, no road crossing here, 0.44 miles west of post 025B</t>
  </si>
  <si>
    <t>Posts 030A,B at power line Right of Way aka FR-10</t>
  </si>
  <si>
    <t>Posts 025A,B at non-numbered road at the high point</t>
  </si>
  <si>
    <t>Posts 031A,B at road crossing 10-1.0 just north of the "old beetle kill tunnel section"</t>
  </si>
  <si>
    <t>Posts 033A,B at road crossing 10-0.3A is just north of "Small Sandy"</t>
  </si>
  <si>
    <t>Posts 034A,B at road crossing 10-1.0C1 which is the road to the North Trailhead and Kiosk</t>
  </si>
  <si>
    <t>Posts 035A,B,C at North Fork</t>
  </si>
  <si>
    <t>Posts 002A,B,C,D at South Fork</t>
  </si>
  <si>
    <t>Posts 036A,B at North Trailhead Kiosk </t>
  </si>
  <si>
    <t>Post 037 just north of North Trailhead Kiosk on beginning of the North Spur to Alexander Springs</t>
  </si>
  <si>
    <t>Posts 038A,B at graded road crossing FR-69</t>
  </si>
  <si>
    <t>Post 040 where bike spur joins foot trail spur headed to Alexander Springs</t>
  </si>
  <si>
    <t>Decimal Degrees **</t>
  </si>
  <si>
    <t>** DD format values deduced from the DMS format using this formula: =SUM(degrees+(minutes/60)+(seconds/3600))</t>
  </si>
  <si>
    <t>Post 041 at paved road 445 directly across the street from the Alexander Springs Entry Gate</t>
  </si>
  <si>
    <t>Post 028, 0.68 miles west of post 025B, trail turns to the north toward the power line right of way</t>
  </si>
  <si>
    <t>29.01.58 x 81.34.03</t>
  </si>
  <si>
    <t>29.01.55 x 81.34.04</t>
  </si>
  <si>
    <t>Post 029, at crossing 10-1.81 which is just south of the power line right of way </t>
  </si>
  <si>
    <t>Post 049, at road crossing 63-5.5 east of road crossing 63 at post 048 by about 650 feet</t>
  </si>
  <si>
    <t>Post 050, at no road crossing is about 400 feet south of post 049</t>
  </si>
  <si>
    <t>Post 051, just NE of 5-point at road crossing 63-5.01</t>
  </si>
  <si>
    <t>Posts 052A/B, just east of 5-point at road crossing 63-5.0 and just north of East End Center Connector</t>
  </si>
  <si>
    <t>Posts 048A/B, at road crossing 63 just south of powerline, also just north of 5-point</t>
  </si>
  <si>
    <t>Posts 047A/B, at the power line right of way aka FR-10 crossing</t>
  </si>
  <si>
    <t>Post 046, about 400 feet south of post 045, this one also on a non-numbered road</t>
  </si>
  <si>
    <t>Post 045, at non-numbered road crossing just south of Grassy Pond at top of short steep hill climb</t>
  </si>
  <si>
    <t>Posts 044A/B, at road crossing 10-1.0, is road crossing just north of Grassy Pond</t>
  </si>
  <si>
    <t>Posts 043A/B, at road crossing 10-0.3A</t>
  </si>
  <si>
    <t>Posts 042A/B, at road crossing 10.1.0C1 just east of North Fork heading south on the East Side Trail</t>
  </si>
  <si>
    <t>Posts 020B at Fire Tower Road</t>
  </si>
  <si>
    <t>Posts 020A first non-numbered road north of Fire Tower Road</t>
  </si>
  <si>
    <t>28.59.45 x 81.32.54</t>
  </si>
  <si>
    <t>Post 042C, at non-numbered road just south of post 042B by maybe 250 yards</t>
  </si>
  <si>
    <t>29.03.54 x 81.34.49</t>
  </si>
  <si>
    <t>Line#</t>
  </si>
  <si>
    <t>Post 034C, at first non-numbered road south of North Fork on West Side Trail</t>
  </si>
  <si>
    <t>Posts 019A,B at road crossing 61-1.7 (originates at graded road FR-69 just north of the transfer station)</t>
  </si>
  <si>
    <t>Updated by John Wimer 01/04/21, Revision 7</t>
  </si>
  <si>
    <t>Posts 011A,B at forest road crossing 63 and at OHV trail crossing</t>
  </si>
  <si>
    <t>Post Count Total</t>
  </si>
  <si>
    <t>PAISLEY WOODS BICYCLE TRAIL - Yellow Carsonite Post List</t>
  </si>
  <si>
    <t>Post Count Total:</t>
  </si>
  <si>
    <t>29.04.00 x 81.35.00</t>
  </si>
  <si>
    <t>LOCATION DESCRIPTION</t>
  </si>
  <si>
    <t>Post Numbering Logic:  CW south loop from Clearwater TH, then north loop CW from west end center connector.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</si>
</sst>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164" fontId="1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164" fontId="1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5" xfId="0" applyFill="1" applyBorder="1"/>
    <xf numFmtId="0" fontId="1" fillId="2" borderId="0" xfId="0" applyFont="1" applyFill="1"/>
    <xf numFmtId="0" fontId="1" fillId="0" borderId="6" xfId="0" applyFont="1" applyBorder="1"/>
    <xf numFmtId="0" fontId="0" fillId="2" borderId="9" xfId="0" applyFill="1" applyBorder="1" applyAlignment="1">
      <alignment horizontal="right"/>
    </xf>
    <xf numFmtId="0" fontId="1" fillId="2" borderId="9" xfId="0" applyFont="1" applyFill="1" applyBorder="1"/>
    <xf numFmtId="0" fontId="1" fillId="0" borderId="9" xfId="0" applyFont="1" applyBorder="1"/>
    <xf numFmtId="0" fontId="0" fillId="2" borderId="7" xfId="0" applyFill="1" applyBorder="1"/>
    <xf numFmtId="0" fontId="0" fillId="2" borderId="6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right" vertical="center"/>
    </xf>
    <xf numFmtId="0" fontId="1" fillId="2" borderId="2" xfId="0" applyFont="1" applyFill="1" applyBorder="1"/>
    <xf numFmtId="0" fontId="0" fillId="2" borderId="0" xfId="0" applyFill="1" applyAlignment="1">
      <alignment horizontal="right"/>
    </xf>
    <xf numFmtId="0" fontId="1" fillId="2" borderId="14" xfId="0" applyFont="1" applyFill="1" applyBorder="1"/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0" xfId="0" applyFont="1"/>
    <xf numFmtId="0" fontId="5" fillId="4" borderId="4" xfId="0" applyFont="1" applyFill="1" applyBorder="1" applyAlignment="1">
      <alignment horizontal="right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17" xfId="0" applyFont="1" applyBorder="1"/>
    <xf numFmtId="0" fontId="0" fillId="5" borderId="18" xfId="0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5</xdr:row>
      <xdr:rowOff>14287</xdr:rowOff>
    </xdr:from>
    <xdr:to>
      <xdr:col>2</xdr:col>
      <xdr:colOff>1714500</xdr:colOff>
      <xdr:row>5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6F3C59-E3AD-3242-E817-A785B40BF094}"/>
            </a:ext>
          </a:extLst>
        </xdr:cNvPr>
        <xdr:cNvSpPr txBox="1"/>
      </xdr:nvSpPr>
      <xdr:spPr>
        <a:xfrm>
          <a:off x="1971674" y="1404937"/>
          <a:ext cx="1685926" cy="16668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South Spur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1704976</xdr:colOff>
      <xdr:row>8</xdr:row>
      <xdr:rowOff>185737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BD4817-2A6E-4FF9-B5FD-BB312D1E423F}"/>
            </a:ext>
          </a:extLst>
        </xdr:cNvPr>
        <xdr:cNvSpPr txBox="1"/>
      </xdr:nvSpPr>
      <xdr:spPr>
        <a:xfrm>
          <a:off x="1962150" y="2200275"/>
          <a:ext cx="1685926" cy="16668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Southwest Section</a:t>
          </a:r>
        </a:p>
      </xdr:txBody>
    </xdr:sp>
    <xdr:clientData/>
  </xdr:twoCellAnchor>
  <xdr:twoCellAnchor>
    <xdr:from>
      <xdr:col>2</xdr:col>
      <xdr:colOff>9525</xdr:colOff>
      <xdr:row>18</xdr:row>
      <xdr:rowOff>19050</xdr:rowOff>
    </xdr:from>
    <xdr:to>
      <xdr:col>2</xdr:col>
      <xdr:colOff>1695451</xdr:colOff>
      <xdr:row>18</xdr:row>
      <xdr:rowOff>185737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A7AF1BB-8E88-40EF-A09E-438D22A7586D}"/>
            </a:ext>
          </a:extLst>
        </xdr:cNvPr>
        <xdr:cNvSpPr txBox="1"/>
      </xdr:nvSpPr>
      <xdr:spPr>
        <a:xfrm>
          <a:off x="1952625" y="4324350"/>
          <a:ext cx="1685926" cy="16668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Center Connector</a:t>
          </a:r>
        </a:p>
      </xdr:txBody>
    </xdr:sp>
    <xdr:clientData/>
  </xdr:twoCellAnchor>
  <xdr:twoCellAnchor>
    <xdr:from>
      <xdr:col>2</xdr:col>
      <xdr:colOff>4781550</xdr:colOff>
      <xdr:row>18</xdr:row>
      <xdr:rowOff>19051</xdr:rowOff>
    </xdr:from>
    <xdr:to>
      <xdr:col>2</xdr:col>
      <xdr:colOff>6724651</xdr:colOff>
      <xdr:row>18</xdr:row>
      <xdr:rowOff>171451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C56B6B4-B68C-4CF9-90A2-359283CCB17E}"/>
            </a:ext>
          </a:extLst>
        </xdr:cNvPr>
        <xdr:cNvSpPr txBox="1"/>
      </xdr:nvSpPr>
      <xdr:spPr>
        <a:xfrm>
          <a:off x="6724650" y="3533776"/>
          <a:ext cx="1943101" cy="1524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Number of posts this section:</a:t>
          </a:r>
        </a:p>
      </xdr:txBody>
    </xdr:sp>
    <xdr:clientData/>
  </xdr:twoCellAnchor>
  <xdr:twoCellAnchor>
    <xdr:from>
      <xdr:col>2</xdr:col>
      <xdr:colOff>4781550</xdr:colOff>
      <xdr:row>8</xdr:row>
      <xdr:rowOff>19050</xdr:rowOff>
    </xdr:from>
    <xdr:to>
      <xdr:col>2</xdr:col>
      <xdr:colOff>6724651</xdr:colOff>
      <xdr:row>8</xdr:row>
      <xdr:rowOff>171450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36B6E69-8C0A-416E-AFEA-760EA6472133}"/>
            </a:ext>
          </a:extLst>
        </xdr:cNvPr>
        <xdr:cNvSpPr txBox="1"/>
      </xdr:nvSpPr>
      <xdr:spPr>
        <a:xfrm>
          <a:off x="6724650" y="1609725"/>
          <a:ext cx="1943101" cy="1524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Number of posts this section:</a:t>
          </a:r>
        </a:p>
      </xdr:txBody>
    </xdr:sp>
    <xdr:clientData/>
  </xdr:twoCellAnchor>
  <xdr:twoCellAnchor>
    <xdr:from>
      <xdr:col>2</xdr:col>
      <xdr:colOff>4781550</xdr:colOff>
      <xdr:row>5</xdr:row>
      <xdr:rowOff>19050</xdr:rowOff>
    </xdr:from>
    <xdr:to>
      <xdr:col>2</xdr:col>
      <xdr:colOff>6724651</xdr:colOff>
      <xdr:row>5</xdr:row>
      <xdr:rowOff>171450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B721BB7-44F2-4CA3-9DCC-E66728D55A7C}"/>
            </a:ext>
          </a:extLst>
        </xdr:cNvPr>
        <xdr:cNvSpPr txBox="1"/>
      </xdr:nvSpPr>
      <xdr:spPr>
        <a:xfrm>
          <a:off x="6724650" y="1019175"/>
          <a:ext cx="1943101" cy="1524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Number of posts this section:</a:t>
          </a:r>
        </a:p>
      </xdr:txBody>
    </xdr:sp>
    <xdr:clientData/>
  </xdr:twoCellAnchor>
  <xdr:twoCellAnchor>
    <xdr:from>
      <xdr:col>2</xdr:col>
      <xdr:colOff>4781550</xdr:colOff>
      <xdr:row>23</xdr:row>
      <xdr:rowOff>19050</xdr:rowOff>
    </xdr:from>
    <xdr:to>
      <xdr:col>2</xdr:col>
      <xdr:colOff>6724651</xdr:colOff>
      <xdr:row>23</xdr:row>
      <xdr:rowOff>171450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A111378-C61F-483E-8AEE-92CAFE983725}"/>
            </a:ext>
          </a:extLst>
        </xdr:cNvPr>
        <xdr:cNvSpPr txBox="1"/>
      </xdr:nvSpPr>
      <xdr:spPr>
        <a:xfrm>
          <a:off x="6724650" y="4505325"/>
          <a:ext cx="1943101" cy="1524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Number of posts this section:</a:t>
          </a:r>
        </a:p>
      </xdr:txBody>
    </xdr:sp>
    <xdr:clientData/>
  </xdr:twoCellAnchor>
  <xdr:twoCellAnchor>
    <xdr:from>
      <xdr:col>2</xdr:col>
      <xdr:colOff>4791075</xdr:colOff>
      <xdr:row>32</xdr:row>
      <xdr:rowOff>19050</xdr:rowOff>
    </xdr:from>
    <xdr:to>
      <xdr:col>2</xdr:col>
      <xdr:colOff>6734176</xdr:colOff>
      <xdr:row>32</xdr:row>
      <xdr:rowOff>171450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AB391DE-6731-4D24-AFA8-FAEA43E06264}"/>
            </a:ext>
          </a:extLst>
        </xdr:cNvPr>
        <xdr:cNvSpPr txBox="1"/>
      </xdr:nvSpPr>
      <xdr:spPr>
        <a:xfrm>
          <a:off x="6734175" y="6257925"/>
          <a:ext cx="1943101" cy="1524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Number of posts this section:</a:t>
          </a:r>
        </a:p>
      </xdr:txBody>
    </xdr:sp>
    <xdr:clientData/>
  </xdr:twoCellAnchor>
  <xdr:twoCellAnchor>
    <xdr:from>
      <xdr:col>2</xdr:col>
      <xdr:colOff>4791075</xdr:colOff>
      <xdr:row>47</xdr:row>
      <xdr:rowOff>19050</xdr:rowOff>
    </xdr:from>
    <xdr:to>
      <xdr:col>2</xdr:col>
      <xdr:colOff>6734176</xdr:colOff>
      <xdr:row>47</xdr:row>
      <xdr:rowOff>171450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1639639-392D-4BE6-9425-DAD99828158F}"/>
            </a:ext>
          </a:extLst>
        </xdr:cNvPr>
        <xdr:cNvSpPr txBox="1"/>
      </xdr:nvSpPr>
      <xdr:spPr>
        <a:xfrm>
          <a:off x="6734175" y="9134475"/>
          <a:ext cx="1943101" cy="1524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Number of posts this section:</a:t>
          </a:r>
        </a:p>
      </xdr:txBody>
    </xdr:sp>
    <xdr:clientData/>
  </xdr:twoCellAnchor>
  <xdr:twoCellAnchor>
    <xdr:from>
      <xdr:col>2</xdr:col>
      <xdr:colOff>4772025</xdr:colOff>
      <xdr:row>54</xdr:row>
      <xdr:rowOff>28575</xdr:rowOff>
    </xdr:from>
    <xdr:to>
      <xdr:col>2</xdr:col>
      <xdr:colOff>6715126</xdr:colOff>
      <xdr:row>54</xdr:row>
      <xdr:rowOff>180975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C113BC6C-467E-48BB-B61E-825EE3478584}"/>
            </a:ext>
          </a:extLst>
        </xdr:cNvPr>
        <xdr:cNvSpPr txBox="1"/>
      </xdr:nvSpPr>
      <xdr:spPr>
        <a:xfrm>
          <a:off x="6715125" y="10496550"/>
          <a:ext cx="1943101" cy="1524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Number of posts this section:</a:t>
          </a:r>
        </a:p>
      </xdr:txBody>
    </xdr:sp>
    <xdr:clientData/>
  </xdr:twoCellAnchor>
  <xdr:twoCellAnchor>
    <xdr:from>
      <xdr:col>2</xdr:col>
      <xdr:colOff>4781550</xdr:colOff>
      <xdr:row>67</xdr:row>
      <xdr:rowOff>19050</xdr:rowOff>
    </xdr:from>
    <xdr:to>
      <xdr:col>2</xdr:col>
      <xdr:colOff>6724651</xdr:colOff>
      <xdr:row>67</xdr:row>
      <xdr:rowOff>171450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AAB3F72-1C25-4C93-95CE-AA24D28F14DE}"/>
            </a:ext>
          </a:extLst>
        </xdr:cNvPr>
        <xdr:cNvSpPr txBox="1"/>
      </xdr:nvSpPr>
      <xdr:spPr>
        <a:xfrm>
          <a:off x="6724650" y="12982575"/>
          <a:ext cx="1943101" cy="1524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Number of posts this section: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1704976</xdr:colOff>
      <xdr:row>23</xdr:row>
      <xdr:rowOff>185737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249CFF7-55B7-4205-9212-FB964A50ADDD}"/>
            </a:ext>
          </a:extLst>
        </xdr:cNvPr>
        <xdr:cNvSpPr txBox="1"/>
      </xdr:nvSpPr>
      <xdr:spPr>
        <a:xfrm>
          <a:off x="1962150" y="4895850"/>
          <a:ext cx="1685926" cy="16668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Southeast Section</a:t>
          </a:r>
        </a:p>
      </xdr:txBody>
    </xdr:sp>
    <xdr:clientData/>
  </xdr:twoCellAnchor>
  <xdr:twoCellAnchor>
    <xdr:from>
      <xdr:col>2</xdr:col>
      <xdr:colOff>19050</xdr:colOff>
      <xdr:row>32</xdr:row>
      <xdr:rowOff>19050</xdr:rowOff>
    </xdr:from>
    <xdr:to>
      <xdr:col>2</xdr:col>
      <xdr:colOff>1704976</xdr:colOff>
      <xdr:row>32</xdr:row>
      <xdr:rowOff>185737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B793F40-9D51-4BF6-89C4-3FDE22984256}"/>
            </a:ext>
          </a:extLst>
        </xdr:cNvPr>
        <xdr:cNvSpPr txBox="1"/>
      </xdr:nvSpPr>
      <xdr:spPr>
        <a:xfrm>
          <a:off x="1962150" y="6648450"/>
          <a:ext cx="1685926" cy="16668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Northwest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Section</a:t>
          </a:r>
        </a:p>
      </xdr:txBody>
    </xdr:sp>
    <xdr:clientData/>
  </xdr:twoCellAnchor>
  <xdr:twoCellAnchor>
    <xdr:from>
      <xdr:col>2</xdr:col>
      <xdr:colOff>19048</xdr:colOff>
      <xdr:row>47</xdr:row>
      <xdr:rowOff>19050</xdr:rowOff>
    </xdr:from>
    <xdr:to>
      <xdr:col>2</xdr:col>
      <xdr:colOff>2162175</xdr:colOff>
      <xdr:row>47</xdr:row>
      <xdr:rowOff>180975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12D6EA9-5D87-405F-A87E-6C8616592A4A}"/>
            </a:ext>
          </a:extLst>
        </xdr:cNvPr>
        <xdr:cNvSpPr txBox="1"/>
      </xdr:nvSpPr>
      <xdr:spPr>
        <a:xfrm>
          <a:off x="1962148" y="9525000"/>
          <a:ext cx="2143127" cy="1619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North Spur To Alexander Springs</a:t>
          </a:r>
        </a:p>
      </xdr:txBody>
    </xdr:sp>
    <xdr:clientData/>
  </xdr:twoCellAnchor>
  <xdr:twoCellAnchor>
    <xdr:from>
      <xdr:col>2</xdr:col>
      <xdr:colOff>9525</xdr:colOff>
      <xdr:row>54</xdr:row>
      <xdr:rowOff>9525</xdr:rowOff>
    </xdr:from>
    <xdr:to>
      <xdr:col>2</xdr:col>
      <xdr:colOff>1695451</xdr:colOff>
      <xdr:row>54</xdr:row>
      <xdr:rowOff>176212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E8883A8-49F4-4682-922B-F7DAC7C8F705}"/>
            </a:ext>
          </a:extLst>
        </xdr:cNvPr>
        <xdr:cNvSpPr txBox="1"/>
      </xdr:nvSpPr>
      <xdr:spPr>
        <a:xfrm>
          <a:off x="1952625" y="10868025"/>
          <a:ext cx="1685926" cy="16668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274320" rtlCol="0" anchor="t"/>
        <a:lstStyle/>
        <a:p>
          <a:r>
            <a:rPr lang="en-US" sz="1100" b="1"/>
            <a:t>Northeast Section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tabSelected="1" workbookViewId="0">
      <selection activeCell="K21" sqref="K21"/>
    </sheetView>
  </sheetViews>
  <sheetFormatPr defaultColWidth="8.85546875" defaultRowHeight="15" x14ac:dyDescent="0.25"/>
  <cols>
    <col min="1" max="1" width="5.5703125" style="25" customWidth="1"/>
    <col min="2" max="2" width="23.5703125" style="1" customWidth="1"/>
    <col min="3" max="3" width="101.28515625" style="1" customWidth="1"/>
    <col min="4" max="4" width="4.42578125" style="1" customWidth="1"/>
    <col min="5" max="6" width="14.42578125" style="1" hidden="1" customWidth="1"/>
    <col min="8" max="16384" width="8.85546875" style="1"/>
  </cols>
  <sheetData>
    <row r="1" spans="1:8" ht="15.75" thickBot="1" x14ac:dyDescent="0.3">
      <c r="A1" s="26"/>
    </row>
    <row r="2" spans="1:8" ht="15.75" thickBot="1" x14ac:dyDescent="0.3">
      <c r="B2" s="17" t="s">
        <v>118</v>
      </c>
      <c r="C2" s="20"/>
      <c r="D2" s="24" t="s">
        <v>115</v>
      </c>
      <c r="E2" s="21"/>
    </row>
    <row r="3" spans="1:8" ht="15.75" thickBot="1" x14ac:dyDescent="0.3">
      <c r="B3" s="2" t="s">
        <v>56</v>
      </c>
      <c r="C3" s="29" t="s">
        <v>119</v>
      </c>
      <c r="D3" s="27">
        <f>SUM(D6:D68)</f>
        <v>93</v>
      </c>
      <c r="E3" s="30" t="s">
        <v>117</v>
      </c>
      <c r="F3" s="28"/>
    </row>
    <row r="4" spans="1:8" ht="15.75" thickBot="1" x14ac:dyDescent="0.3">
      <c r="B4" s="23" t="s">
        <v>122</v>
      </c>
      <c r="C4" s="18"/>
      <c r="D4" s="3"/>
      <c r="E4" s="18"/>
      <c r="F4" s="3"/>
    </row>
    <row r="5" spans="1:8" ht="15.75" thickBot="1" x14ac:dyDescent="0.3">
      <c r="A5" s="42" t="s">
        <v>112</v>
      </c>
      <c r="B5" s="41" t="s">
        <v>90</v>
      </c>
      <c r="C5" s="22"/>
      <c r="D5" s="40"/>
      <c r="F5" s="19"/>
    </row>
    <row r="6" spans="1:8" ht="15.75" thickBot="1" x14ac:dyDescent="0.3">
      <c r="A6" s="43">
        <v>1</v>
      </c>
      <c r="B6" s="4" t="s">
        <v>55</v>
      </c>
      <c r="C6" s="36" t="s">
        <v>121</v>
      </c>
      <c r="D6" s="27">
        <v>2</v>
      </c>
      <c r="E6" s="34" t="s">
        <v>89</v>
      </c>
      <c r="F6" s="35"/>
    </row>
    <row r="7" spans="1:8" x14ac:dyDescent="0.25">
      <c r="A7" s="43">
        <v>2</v>
      </c>
      <c r="B7" s="5" t="s">
        <v>12</v>
      </c>
      <c r="C7" s="7" t="s">
        <v>58</v>
      </c>
      <c r="D7" s="7"/>
      <c r="E7" s="31">
        <f>SUM(28+(58/60)+(36/3600))</f>
        <v>28.976666666666667</v>
      </c>
      <c r="F7" s="6">
        <f>SUM(81+(33/60)+(1/3600))</f>
        <v>81.550277777777779</v>
      </c>
    </row>
    <row r="8" spans="1:8" ht="15.75" thickBot="1" x14ac:dyDescent="0.3">
      <c r="A8" s="43">
        <v>3</v>
      </c>
      <c r="B8" s="8" t="s">
        <v>11</v>
      </c>
      <c r="C8" s="10" t="s">
        <v>84</v>
      </c>
      <c r="D8" s="10"/>
      <c r="E8" s="32">
        <f>SUM(28+(58/60)+(56/3600))</f>
        <v>28.982222222222219</v>
      </c>
      <c r="F8" s="9">
        <f>SUM(81+(33/60)+(3/3600))</f>
        <v>81.55083333333333</v>
      </c>
    </row>
    <row r="9" spans="1:8" ht="15.75" thickBot="1" x14ac:dyDescent="0.3">
      <c r="A9" s="43">
        <v>4</v>
      </c>
      <c r="B9" s="4" t="s">
        <v>55</v>
      </c>
      <c r="C9" s="36" t="s">
        <v>54</v>
      </c>
      <c r="D9" s="27">
        <v>6</v>
      </c>
      <c r="E9" s="34" t="s">
        <v>57</v>
      </c>
      <c r="F9" s="35"/>
    </row>
    <row r="10" spans="1:8" x14ac:dyDescent="0.25">
      <c r="A10" s="43">
        <v>5</v>
      </c>
      <c r="B10" s="8" t="s">
        <v>13</v>
      </c>
      <c r="C10" s="10" t="s">
        <v>59</v>
      </c>
      <c r="D10" s="10"/>
      <c r="E10" s="32">
        <f>SUM(28+(59/60)+(3/3600))</f>
        <v>28.984166666666667</v>
      </c>
      <c r="F10" s="9">
        <f>SUM(81+(33/60)+(18/3600))</f>
        <v>81.554999999999993</v>
      </c>
    </row>
    <row r="11" spans="1:8" x14ac:dyDescent="0.25">
      <c r="A11" s="43">
        <v>6</v>
      </c>
      <c r="B11" s="8" t="s">
        <v>15</v>
      </c>
      <c r="C11" s="10" t="s">
        <v>14</v>
      </c>
      <c r="D11" s="10"/>
      <c r="E11" s="32">
        <f>SUM(28+(58/60)+(58/3600))</f>
        <v>28.982777777777777</v>
      </c>
      <c r="F11" s="9">
        <f>SUM(81+(33/60)+(41/3600))</f>
        <v>81.561388888888885</v>
      </c>
    </row>
    <row r="12" spans="1:8" x14ac:dyDescent="0.25">
      <c r="A12" s="43">
        <v>7</v>
      </c>
      <c r="B12" s="8" t="s">
        <v>16</v>
      </c>
      <c r="C12" s="10" t="s">
        <v>60</v>
      </c>
      <c r="D12" s="10"/>
      <c r="E12" s="32">
        <f>SUM(28+(59/60)+(19/3600))</f>
        <v>28.988611111111112</v>
      </c>
      <c r="F12" s="9">
        <f>SUM(81+(34/60)+(6/3600))</f>
        <v>81.568333333333328</v>
      </c>
    </row>
    <row r="13" spans="1:8" x14ac:dyDescent="0.25">
      <c r="A13" s="43">
        <v>8</v>
      </c>
      <c r="B13" s="8" t="s">
        <v>17</v>
      </c>
      <c r="C13" s="10" t="s">
        <v>61</v>
      </c>
      <c r="D13" s="10"/>
      <c r="E13" s="32">
        <f>SUM(28+(59/60)+(23/3600))</f>
        <v>28.989722222222223</v>
      </c>
      <c r="F13" s="9">
        <f>SUM(81+(34/60)+(25/3600))</f>
        <v>81.573611111111106</v>
      </c>
    </row>
    <row r="14" spans="1:8" x14ac:dyDescent="0.25">
      <c r="A14" s="43">
        <v>9</v>
      </c>
      <c r="B14" s="8" t="s">
        <v>18</v>
      </c>
      <c r="C14" s="10" t="s">
        <v>62</v>
      </c>
      <c r="D14" s="10"/>
      <c r="E14" s="32">
        <f>SUM(28+(59/60)+(42/3600))</f>
        <v>28.995000000000001</v>
      </c>
      <c r="F14" s="9">
        <f>SUM(81+(34/60)+(21/3600))</f>
        <v>81.572499999999991</v>
      </c>
      <c r="H14" s="37"/>
    </row>
    <row r="15" spans="1:8" x14ac:dyDescent="0.25">
      <c r="A15" s="43">
        <v>10</v>
      </c>
      <c r="B15" s="8" t="s">
        <v>19</v>
      </c>
      <c r="C15" s="10" t="s">
        <v>63</v>
      </c>
      <c r="D15" s="10"/>
      <c r="E15" s="32">
        <f>SUM(29+(0/60)+(6/3600))</f>
        <v>29.001666666666665</v>
      </c>
      <c r="F15" s="9">
        <f>SUM(81+(34/60)+(2/3600))</f>
        <v>81.567222222222213</v>
      </c>
    </row>
    <row r="16" spans="1:8" x14ac:dyDescent="0.25">
      <c r="A16" s="43">
        <v>11</v>
      </c>
      <c r="B16" s="8" t="s">
        <v>20</v>
      </c>
      <c r="C16" s="10" t="s">
        <v>64</v>
      </c>
      <c r="D16" s="10"/>
      <c r="E16" s="32">
        <f>SUM(29+(0/60)+(22/3600))</f>
        <v>29.00611111111111</v>
      </c>
      <c r="F16" s="9">
        <f>SUM(81+(34/60)+(0/3600))</f>
        <v>81.566666666666663</v>
      </c>
    </row>
    <row r="17" spans="1:6" x14ac:dyDescent="0.25">
      <c r="A17" s="43">
        <v>12</v>
      </c>
      <c r="B17" s="8" t="s">
        <v>21</v>
      </c>
      <c r="C17" s="10" t="s">
        <v>65</v>
      </c>
      <c r="D17" s="10"/>
      <c r="E17" s="32">
        <f>SUM(29+(9/60)+(31/3600))</f>
        <v>29.15861111111111</v>
      </c>
      <c r="F17" s="9">
        <f>SUM(81+(34/60)+(3/3600))</f>
        <v>81.567499999999995</v>
      </c>
    </row>
    <row r="18" spans="1:6" ht="15.75" thickBot="1" x14ac:dyDescent="0.3">
      <c r="A18" s="43">
        <v>13</v>
      </c>
      <c r="B18" s="8" t="s">
        <v>22</v>
      </c>
      <c r="C18" s="15" t="s">
        <v>116</v>
      </c>
      <c r="D18" s="15"/>
      <c r="E18" s="32">
        <f>SUM(29+(1/60)+(1/3600))</f>
        <v>29.016944444444444</v>
      </c>
      <c r="F18" s="9">
        <f>SUM(81+(34/60)+(4/3600))</f>
        <v>81.567777777777778</v>
      </c>
    </row>
    <row r="19" spans="1:6" ht="15.75" thickBot="1" x14ac:dyDescent="0.3">
      <c r="A19" s="43">
        <v>14</v>
      </c>
      <c r="B19" s="4" t="s">
        <v>55</v>
      </c>
      <c r="C19" s="36" t="s">
        <v>54</v>
      </c>
      <c r="D19" s="27">
        <v>15</v>
      </c>
      <c r="E19" s="34" t="s">
        <v>57</v>
      </c>
      <c r="F19" s="35"/>
    </row>
    <row r="20" spans="1:6" x14ac:dyDescent="0.25">
      <c r="A20" s="43">
        <v>15</v>
      </c>
      <c r="B20" s="8" t="s">
        <v>33</v>
      </c>
      <c r="C20" s="10" t="s">
        <v>69</v>
      </c>
      <c r="D20" s="10"/>
      <c r="E20" s="32">
        <f>SUM(29+(1/60)+(20/3600))</f>
        <v>29.022222222222222</v>
      </c>
      <c r="F20" s="9">
        <f>SUM(81+(34/60)+(5/3600))</f>
        <v>81.568055555555546</v>
      </c>
    </row>
    <row r="21" spans="1:6" x14ac:dyDescent="0.25">
      <c r="A21" s="43">
        <v>16</v>
      </c>
      <c r="B21" s="8" t="s">
        <v>0</v>
      </c>
      <c r="C21" s="10" t="s">
        <v>66</v>
      </c>
      <c r="D21" s="10"/>
      <c r="E21" s="32">
        <f t="shared" ref="E21" si="0">SUM(29+(1/60)+(20/3600))</f>
        <v>29.022222222222222</v>
      </c>
      <c r="F21" s="9">
        <f>SUM(81+(34/60)+(2/3600))</f>
        <v>81.567222222222213</v>
      </c>
    </row>
    <row r="22" spans="1:6" x14ac:dyDescent="0.25">
      <c r="A22" s="43">
        <v>17</v>
      </c>
      <c r="B22" s="8" t="s">
        <v>1</v>
      </c>
      <c r="C22" s="10" t="s">
        <v>67</v>
      </c>
      <c r="D22" s="10"/>
      <c r="E22" s="32">
        <f>SUM(29+(1/60)+(19/3600))</f>
        <v>29.021944444444443</v>
      </c>
      <c r="F22" s="9">
        <f>SUM(81+(33/60)+(52/3600))</f>
        <v>81.564444444444447</v>
      </c>
    </row>
    <row r="23" spans="1:6" ht="15.75" thickBot="1" x14ac:dyDescent="0.3">
      <c r="A23" s="43">
        <v>18</v>
      </c>
      <c r="B23" s="8" t="s">
        <v>2</v>
      </c>
      <c r="C23" s="10" t="s">
        <v>68</v>
      </c>
      <c r="D23" s="10"/>
      <c r="E23" s="32">
        <f>SUM(29+(1/60)+(19/3600))</f>
        <v>29.021944444444443</v>
      </c>
      <c r="F23" s="9">
        <f>SUM(81+(33/60)+(48/3600))</f>
        <v>81.563333333333333</v>
      </c>
    </row>
    <row r="24" spans="1:6" ht="15.75" thickBot="1" x14ac:dyDescent="0.3">
      <c r="A24" s="43">
        <v>19</v>
      </c>
      <c r="B24" s="4" t="s">
        <v>55</v>
      </c>
      <c r="C24" s="36" t="s">
        <v>54</v>
      </c>
      <c r="D24" s="27">
        <v>8</v>
      </c>
      <c r="E24" s="34" t="s">
        <v>57</v>
      </c>
      <c r="F24" s="35"/>
    </row>
    <row r="25" spans="1:6" x14ac:dyDescent="0.25">
      <c r="A25" s="43">
        <v>20</v>
      </c>
      <c r="B25" s="8" t="s">
        <v>3</v>
      </c>
      <c r="C25" s="10" t="s">
        <v>70</v>
      </c>
      <c r="D25" s="10"/>
      <c r="E25" s="32">
        <f>SUM(29+(1/60)+(45/3600))</f>
        <v>29.029166666666665</v>
      </c>
      <c r="F25" s="9">
        <f>SUM(81+(33/60)+(50/3600))</f>
        <v>81.563888888888883</v>
      </c>
    </row>
    <row r="26" spans="1:6" x14ac:dyDescent="0.25">
      <c r="A26" s="43">
        <v>21</v>
      </c>
      <c r="B26" s="8" t="s">
        <v>4</v>
      </c>
      <c r="C26" s="10" t="s">
        <v>71</v>
      </c>
      <c r="D26" s="10"/>
      <c r="E26" s="32">
        <f>SUM(29+(1/60)+(5/3600))</f>
        <v>29.018055555555556</v>
      </c>
      <c r="F26" s="9">
        <f>SUM(81+(33/60)+(23/3600))</f>
        <v>81.55638888888889</v>
      </c>
    </row>
    <row r="27" spans="1:6" x14ac:dyDescent="0.25">
      <c r="A27" s="43">
        <v>22</v>
      </c>
      <c r="B27" s="8" t="s">
        <v>6</v>
      </c>
      <c r="C27" s="10" t="s">
        <v>5</v>
      </c>
      <c r="D27" s="10"/>
      <c r="E27" s="32">
        <f>SUM(29+(0/60)+(23/3600))</f>
        <v>29.006388888888889</v>
      </c>
      <c r="F27" s="9">
        <f>SUM(81+(33/60)+(23/3600))</f>
        <v>81.55638888888889</v>
      </c>
    </row>
    <row r="28" spans="1:6" x14ac:dyDescent="0.25">
      <c r="A28" s="43">
        <v>23</v>
      </c>
      <c r="B28" s="8" t="s">
        <v>7</v>
      </c>
      <c r="C28" s="15" t="s">
        <v>114</v>
      </c>
      <c r="D28" s="15"/>
      <c r="E28" s="32">
        <f>SUM(29+(0/60)+(3/3600))</f>
        <v>29.000833333333333</v>
      </c>
      <c r="F28" s="9">
        <f>SUM(81+(33/60)+(7/3600))</f>
        <v>81.551944444444445</v>
      </c>
    </row>
    <row r="29" spans="1:6" x14ac:dyDescent="0.25">
      <c r="A29" s="43">
        <v>24</v>
      </c>
      <c r="B29" s="8" t="s">
        <v>109</v>
      </c>
      <c r="C29" s="10" t="s">
        <v>108</v>
      </c>
      <c r="D29" s="10"/>
      <c r="E29" s="32">
        <v>28.99583333</v>
      </c>
      <c r="F29" s="9">
        <v>81.548333330000006</v>
      </c>
    </row>
    <row r="30" spans="1:6" x14ac:dyDescent="0.25">
      <c r="A30" s="43">
        <v>25</v>
      </c>
      <c r="B30" s="8" t="s">
        <v>8</v>
      </c>
      <c r="C30" s="10" t="s">
        <v>107</v>
      </c>
      <c r="D30" s="10"/>
      <c r="E30" s="32">
        <f>SUM(28+(59/60)+(34/3600))</f>
        <v>28.992777777777778</v>
      </c>
      <c r="F30" s="9">
        <f>SUM(81+(32/60)+(54/3600))</f>
        <v>81.548333333333332</v>
      </c>
    </row>
    <row r="31" spans="1:6" x14ac:dyDescent="0.25">
      <c r="A31" s="43">
        <v>26</v>
      </c>
      <c r="B31" s="8" t="s">
        <v>9</v>
      </c>
      <c r="C31" s="10" t="s">
        <v>72</v>
      </c>
      <c r="D31" s="10"/>
      <c r="E31" s="32">
        <f>SUM(28+(59/60)+(28/3600))</f>
        <v>28.991111111111113</v>
      </c>
      <c r="F31" s="9">
        <f>SUM(81+(32/60)+(57/3600))</f>
        <v>81.549166666666665</v>
      </c>
    </row>
    <row r="32" spans="1:6" ht="15.75" thickBot="1" x14ac:dyDescent="0.3">
      <c r="A32" s="43">
        <v>27</v>
      </c>
      <c r="B32" s="8" t="s">
        <v>10</v>
      </c>
      <c r="C32" s="10" t="s">
        <v>73</v>
      </c>
      <c r="D32" s="10"/>
      <c r="E32" s="32">
        <f>SUM(28+(59/60)+(2/3600))</f>
        <v>28.983888888888888</v>
      </c>
      <c r="F32" s="9">
        <f>SUM(81+(33/60)+(3/3600))</f>
        <v>81.55083333333333</v>
      </c>
    </row>
    <row r="33" spans="1:6" ht="15.75" thickBot="1" x14ac:dyDescent="0.3">
      <c r="A33" s="43">
        <v>28</v>
      </c>
      <c r="B33" s="4" t="s">
        <v>55</v>
      </c>
      <c r="C33" s="36" t="s">
        <v>54</v>
      </c>
      <c r="D33" s="27">
        <v>12</v>
      </c>
      <c r="E33" s="34" t="s">
        <v>57</v>
      </c>
      <c r="F33" s="35"/>
    </row>
    <row r="34" spans="1:6" x14ac:dyDescent="0.25">
      <c r="A34" s="43">
        <v>29</v>
      </c>
      <c r="B34" s="8" t="s">
        <v>23</v>
      </c>
      <c r="C34" s="10" t="s">
        <v>74</v>
      </c>
      <c r="D34" s="10"/>
      <c r="E34" s="32">
        <f>SUM(29+(1/60)+(29/3600))</f>
        <v>29.02472222222222</v>
      </c>
      <c r="F34" s="9">
        <f>SUM(81+(34/60)+(11/3600))</f>
        <v>81.569722222222225</v>
      </c>
    </row>
    <row r="35" spans="1:6" x14ac:dyDescent="0.25">
      <c r="A35" s="43">
        <v>30</v>
      </c>
      <c r="B35" s="8" t="s">
        <v>24</v>
      </c>
      <c r="C35" s="10" t="s">
        <v>75</v>
      </c>
      <c r="D35" s="10"/>
      <c r="E35" s="32">
        <f>SUM(29+(1/60)+(35/3600))</f>
        <v>29.026388888888889</v>
      </c>
      <c r="F35" s="9">
        <f>SUM(81+(34/60)+(23/3600))</f>
        <v>81.573055555555555</v>
      </c>
    </row>
    <row r="36" spans="1:6" x14ac:dyDescent="0.25">
      <c r="A36" s="43">
        <v>31</v>
      </c>
      <c r="B36" s="8" t="s">
        <v>25</v>
      </c>
      <c r="C36" s="10" t="s">
        <v>79</v>
      </c>
      <c r="D36" s="10"/>
      <c r="E36" s="32">
        <f>SUM(29+(1/60)+(54/3600))</f>
        <v>29.031666666666666</v>
      </c>
      <c r="F36" s="9">
        <f>SUM(81+(34/60)+(47/3600))</f>
        <v>81.579722222222216</v>
      </c>
    </row>
    <row r="37" spans="1:6" x14ac:dyDescent="0.25">
      <c r="A37" s="43">
        <v>32</v>
      </c>
      <c r="B37" s="8" t="s">
        <v>26</v>
      </c>
      <c r="C37" s="10" t="s">
        <v>76</v>
      </c>
      <c r="D37" s="10"/>
      <c r="E37" s="32">
        <f>SUM(29+(1/60)+(55/3600))</f>
        <v>29.031944444444445</v>
      </c>
      <c r="F37" s="9">
        <f>SUM(81+(35/60)+(4/3600))</f>
        <v>81.584444444444443</v>
      </c>
    </row>
    <row r="38" spans="1:6" x14ac:dyDescent="0.25">
      <c r="A38" s="43">
        <v>33</v>
      </c>
      <c r="B38" s="8" t="s">
        <v>27</v>
      </c>
      <c r="C38" s="10" t="s">
        <v>77</v>
      </c>
      <c r="D38" s="10"/>
      <c r="E38" s="32">
        <f>SUM(29+(1/60)+(55/3600))</f>
        <v>29.031944444444445</v>
      </c>
      <c r="F38" s="9">
        <f>SUM(81+(35/60)+(10/3600))</f>
        <v>81.586111111111109</v>
      </c>
    </row>
    <row r="39" spans="1:6" x14ac:dyDescent="0.25">
      <c r="A39" s="43">
        <v>34</v>
      </c>
      <c r="B39" s="8" t="s">
        <v>28</v>
      </c>
      <c r="C39" s="10" t="s">
        <v>92</v>
      </c>
      <c r="D39" s="10"/>
      <c r="E39" s="32">
        <f>SUM(29+(1/60)+(56/3600))</f>
        <v>29.03222222222222</v>
      </c>
      <c r="F39" s="9">
        <f>SUM(81+(35/60)+(23/3600))</f>
        <v>81.589722222222221</v>
      </c>
    </row>
    <row r="40" spans="1:6" x14ac:dyDescent="0.25">
      <c r="A40" s="43">
        <v>35</v>
      </c>
      <c r="B40" s="8" t="s">
        <v>29</v>
      </c>
      <c r="C40" s="15" t="s">
        <v>95</v>
      </c>
      <c r="D40" s="15"/>
      <c r="E40" s="32">
        <f>SUM(29+(2/60)+(24/3600))</f>
        <v>29.040000000000003</v>
      </c>
      <c r="F40" s="9">
        <f>SUM(81+(35/60)+(21/3600))</f>
        <v>81.589166666666657</v>
      </c>
    </row>
    <row r="41" spans="1:6" x14ac:dyDescent="0.25">
      <c r="A41" s="43">
        <v>36</v>
      </c>
      <c r="B41" s="8" t="s">
        <v>30</v>
      </c>
      <c r="C41" s="10" t="s">
        <v>78</v>
      </c>
      <c r="D41" s="10"/>
      <c r="E41" s="32">
        <f>SUM(29+(2/60)+(29/3600))</f>
        <v>29.041388888888889</v>
      </c>
      <c r="F41" s="9">
        <f>SUM(81+(35/60)+(20/3600))</f>
        <v>81.588888888888889</v>
      </c>
    </row>
    <row r="42" spans="1:6" x14ac:dyDescent="0.25">
      <c r="A42" s="43">
        <v>37</v>
      </c>
      <c r="B42" s="8" t="s">
        <v>31</v>
      </c>
      <c r="C42" s="10" t="s">
        <v>80</v>
      </c>
      <c r="D42" s="10"/>
      <c r="E42" s="32">
        <f>SUM(29+(2/60)+(55/3600))</f>
        <v>29.048611111111114</v>
      </c>
      <c r="F42" s="9">
        <f>SUM(81+(35/60)+(6/3600))</f>
        <v>81.584999999999994</v>
      </c>
    </row>
    <row r="43" spans="1:6" x14ac:dyDescent="0.25">
      <c r="A43" s="43">
        <v>38</v>
      </c>
      <c r="B43" s="8" t="s">
        <v>34</v>
      </c>
      <c r="C43" s="10" t="s">
        <v>35</v>
      </c>
      <c r="D43" s="10"/>
      <c r="E43" s="32">
        <f>SUM(29+(3/60)+(13/3600))</f>
        <v>29.053611111111113</v>
      </c>
      <c r="F43" s="9">
        <f>SUM(81+(35/60)+(6/3600))</f>
        <v>81.584999999999994</v>
      </c>
    </row>
    <row r="44" spans="1:6" x14ac:dyDescent="0.25">
      <c r="A44" s="43">
        <v>39</v>
      </c>
      <c r="B44" s="8" t="s">
        <v>36</v>
      </c>
      <c r="C44" s="10" t="s">
        <v>81</v>
      </c>
      <c r="D44" s="10"/>
      <c r="E44" s="32">
        <f>SUM(29+(3/60)+(30/3600))</f>
        <v>29.058333333333334</v>
      </c>
      <c r="F44" s="9">
        <f>SUM(81+(35/60)+(0/3600))</f>
        <v>81.583333333333329</v>
      </c>
    </row>
    <row r="45" spans="1:6" x14ac:dyDescent="0.25">
      <c r="A45" s="43">
        <v>40</v>
      </c>
      <c r="B45" s="8" t="s">
        <v>37</v>
      </c>
      <c r="C45" s="10" t="s">
        <v>82</v>
      </c>
      <c r="D45" s="10"/>
      <c r="E45" s="32">
        <f>SUM(29+(3/60)+(41/3600))</f>
        <v>29.061388888888889</v>
      </c>
      <c r="F45" s="9">
        <f>SUM(81+(35/60)+(7/3600))</f>
        <v>81.585277777777776</v>
      </c>
    </row>
    <row r="46" spans="1:6" x14ac:dyDescent="0.25">
      <c r="A46" s="43">
        <v>41</v>
      </c>
      <c r="B46" s="14" t="s">
        <v>120</v>
      </c>
      <c r="C46" s="15" t="s">
        <v>113</v>
      </c>
      <c r="D46" s="15"/>
      <c r="E46" s="32">
        <v>29.067011000000001</v>
      </c>
      <c r="F46" s="9">
        <v>81.583618999999999</v>
      </c>
    </row>
    <row r="47" spans="1:6" ht="15.75" thickBot="1" x14ac:dyDescent="0.3">
      <c r="A47" s="43">
        <v>42</v>
      </c>
      <c r="B47" s="8" t="s">
        <v>38</v>
      </c>
      <c r="C47" s="10" t="s">
        <v>83</v>
      </c>
      <c r="D47" s="10"/>
      <c r="E47" s="32">
        <f>SUM(29+(4/60)+(3/3600))</f>
        <v>29.067499999999999</v>
      </c>
      <c r="F47" s="9">
        <f>SUM(81+(34/60)+(53/3600))</f>
        <v>81.581388888888881</v>
      </c>
    </row>
    <row r="48" spans="1:6" ht="15.75" thickBot="1" x14ac:dyDescent="0.3">
      <c r="A48" s="43">
        <v>43</v>
      </c>
      <c r="B48" s="4" t="s">
        <v>55</v>
      </c>
      <c r="C48" s="36" t="s">
        <v>54</v>
      </c>
      <c r="D48" s="27">
        <v>24</v>
      </c>
      <c r="E48" s="34" t="s">
        <v>57</v>
      </c>
      <c r="F48" s="35"/>
    </row>
    <row r="49" spans="1:6" x14ac:dyDescent="0.25">
      <c r="A49" s="43">
        <v>44</v>
      </c>
      <c r="B49" s="8" t="s">
        <v>32</v>
      </c>
      <c r="C49" s="10" t="s">
        <v>85</v>
      </c>
      <c r="D49" s="10"/>
      <c r="E49" s="32">
        <f>SUM(29+(4/60)+(7/3600))</f>
        <v>29.06861111111111</v>
      </c>
      <c r="F49" s="9">
        <f>SUM(81+(34/60)+(52/3600))</f>
        <v>81.581111111111113</v>
      </c>
    </row>
    <row r="50" spans="1:6" x14ac:dyDescent="0.25">
      <c r="A50" s="43">
        <v>45</v>
      </c>
      <c r="B50" s="8" t="s">
        <v>39</v>
      </c>
      <c r="C50" s="10" t="s">
        <v>86</v>
      </c>
      <c r="D50" s="10"/>
      <c r="E50" s="32">
        <f>SUM(29+(4/60)+(9/3600))</f>
        <v>29.069166666666668</v>
      </c>
      <c r="F50" s="9">
        <f t="shared" ref="F50" si="1">SUM(81+(34/60)+(52/3600))</f>
        <v>81.581111111111113</v>
      </c>
    </row>
    <row r="51" spans="1:6" x14ac:dyDescent="0.25">
      <c r="A51" s="43">
        <v>46</v>
      </c>
      <c r="B51" s="8" t="s">
        <v>40</v>
      </c>
      <c r="C51" s="10" t="s">
        <v>87</v>
      </c>
      <c r="D51" s="10"/>
      <c r="E51" s="32">
        <f>SUM(29+(4/60)+(13/3600))</f>
        <v>29.070277777777779</v>
      </c>
      <c r="F51" s="9">
        <f>SUM(81+(34/60)+(53/3600))</f>
        <v>81.581388888888881</v>
      </c>
    </row>
    <row r="52" spans="1:6" x14ac:dyDescent="0.25">
      <c r="A52" s="43">
        <v>47</v>
      </c>
      <c r="B52" s="8" t="s">
        <v>42</v>
      </c>
      <c r="C52" s="10" t="s">
        <v>41</v>
      </c>
      <c r="D52" s="10"/>
      <c r="E52" s="32">
        <f t="shared" ref="E52:E54" si="2">SUM(29+(4/60)+(3/3600))</f>
        <v>29.067499999999999</v>
      </c>
      <c r="F52" s="9">
        <f>SUM(81+(34/60)+(48/3600))</f>
        <v>81.58</v>
      </c>
    </row>
    <row r="53" spans="1:6" x14ac:dyDescent="0.25">
      <c r="A53" s="43">
        <v>48</v>
      </c>
      <c r="B53" s="8" t="s">
        <v>44</v>
      </c>
      <c r="C53" s="10" t="s">
        <v>88</v>
      </c>
      <c r="D53" s="10"/>
      <c r="E53" s="32">
        <f t="shared" si="2"/>
        <v>29.067499999999999</v>
      </c>
      <c r="F53" s="9">
        <f>SUM(81+(34/60)+(45/3600))</f>
        <v>81.579166666666666</v>
      </c>
    </row>
    <row r="54" spans="1:6" ht="15.75" thickBot="1" x14ac:dyDescent="0.3">
      <c r="A54" s="43">
        <v>49</v>
      </c>
      <c r="B54" s="8" t="s">
        <v>46</v>
      </c>
      <c r="C54" s="10" t="s">
        <v>91</v>
      </c>
      <c r="D54" s="10"/>
      <c r="E54" s="32">
        <f t="shared" si="2"/>
        <v>29.067499999999999</v>
      </c>
      <c r="F54" s="9">
        <f>SUM(81+(34/60)+(40/3600))</f>
        <v>81.577777777777769</v>
      </c>
    </row>
    <row r="55" spans="1:6" ht="15.75" thickBot="1" x14ac:dyDescent="0.3">
      <c r="A55" s="43">
        <v>50</v>
      </c>
      <c r="B55" s="4" t="s">
        <v>55</v>
      </c>
      <c r="C55" s="36" t="s">
        <v>54</v>
      </c>
      <c r="D55" s="27">
        <v>8</v>
      </c>
      <c r="E55" s="34" t="s">
        <v>57</v>
      </c>
      <c r="F55" s="35"/>
    </row>
    <row r="56" spans="1:6" x14ac:dyDescent="0.25">
      <c r="A56" s="43">
        <v>51</v>
      </c>
      <c r="B56" s="8" t="s">
        <v>43</v>
      </c>
      <c r="C56" s="15" t="s">
        <v>106</v>
      </c>
      <c r="D56" s="15"/>
      <c r="E56" s="32">
        <f>SUM(29+(4/60)+(1/3600))</f>
        <v>29.066944444444445</v>
      </c>
      <c r="F56" s="9">
        <f>SUM(81+(34/60)+(52/3600))</f>
        <v>81.581111111111113</v>
      </c>
    </row>
    <row r="57" spans="1:6" x14ac:dyDescent="0.25">
      <c r="A57" s="43">
        <v>52</v>
      </c>
      <c r="B57" s="8" t="s">
        <v>111</v>
      </c>
      <c r="C57" s="15" t="s">
        <v>110</v>
      </c>
      <c r="D57" s="15"/>
      <c r="E57" s="32">
        <v>29.065000000000001</v>
      </c>
      <c r="F57" s="9">
        <v>81.580277780000003</v>
      </c>
    </row>
    <row r="58" spans="1:6" x14ac:dyDescent="0.25">
      <c r="A58" s="43">
        <v>53</v>
      </c>
      <c r="B58" s="8" t="s">
        <v>45</v>
      </c>
      <c r="C58" s="15" t="s">
        <v>105</v>
      </c>
      <c r="D58" s="15"/>
      <c r="E58" s="32">
        <f>SUM(29+(3/60)+(22/3600))</f>
        <v>29.056111111111111</v>
      </c>
      <c r="F58" s="9">
        <f>SUM(81+(34/60)+(44/3600))</f>
        <v>81.578888888888883</v>
      </c>
    </row>
    <row r="59" spans="1:6" x14ac:dyDescent="0.25">
      <c r="A59" s="43">
        <v>54</v>
      </c>
      <c r="B59" s="8" t="s">
        <v>47</v>
      </c>
      <c r="C59" s="15" t="s">
        <v>104</v>
      </c>
      <c r="D59" s="15"/>
      <c r="E59" s="32">
        <f>SUM(29+(3/60)+(10/3600))</f>
        <v>29.052777777777777</v>
      </c>
      <c r="F59" s="9">
        <f>SUM(81+(34/60)+(28/3600))</f>
        <v>81.574444444444438</v>
      </c>
    </row>
    <row r="60" spans="1:6" x14ac:dyDescent="0.25">
      <c r="A60" s="43">
        <v>55</v>
      </c>
      <c r="B60" s="8" t="s">
        <v>53</v>
      </c>
      <c r="C60" s="15" t="s">
        <v>103</v>
      </c>
      <c r="D60" s="15"/>
      <c r="E60" s="32">
        <f>SUM(29+(2/60)+(45/3600))</f>
        <v>29.045833333333334</v>
      </c>
      <c r="F60" s="9">
        <f>SUM(81+(34/60)+(11/3600))</f>
        <v>81.569722222222225</v>
      </c>
    </row>
    <row r="61" spans="1:6" x14ac:dyDescent="0.25">
      <c r="A61" s="43">
        <v>56</v>
      </c>
      <c r="B61" s="8" t="s">
        <v>52</v>
      </c>
      <c r="C61" s="15" t="s">
        <v>102</v>
      </c>
      <c r="D61" s="15"/>
      <c r="E61" s="32">
        <f>SUM(29+(2/60)+(42/3600))</f>
        <v>29.045000000000002</v>
      </c>
      <c r="F61" s="9">
        <f>SUM(81+(34/60)+(11/3600))</f>
        <v>81.569722222222225</v>
      </c>
    </row>
    <row r="62" spans="1:6" x14ac:dyDescent="0.25">
      <c r="A62" s="43">
        <v>57</v>
      </c>
      <c r="B62" s="8" t="s">
        <v>51</v>
      </c>
      <c r="C62" s="15" t="s">
        <v>101</v>
      </c>
      <c r="D62" s="15"/>
      <c r="E62" s="32">
        <f>SUM(29+(2/60)+(19/3600))</f>
        <v>29.038611111111113</v>
      </c>
      <c r="F62" s="9">
        <f>SUM(81+(34/60)+(31/3600))</f>
        <v>81.575277777777771</v>
      </c>
    </row>
    <row r="63" spans="1:6" x14ac:dyDescent="0.25">
      <c r="A63" s="43">
        <v>58</v>
      </c>
      <c r="B63" s="8" t="s">
        <v>50</v>
      </c>
      <c r="C63" s="15" t="s">
        <v>100</v>
      </c>
      <c r="D63" s="15"/>
      <c r="E63" s="32">
        <f>SUM(29+(1/60)+(58/3600))</f>
        <v>29.032777777777778</v>
      </c>
      <c r="F63" s="9">
        <f>SUM(81+(34/60)+(9/3600))</f>
        <v>81.569166666666661</v>
      </c>
    </row>
    <row r="64" spans="1:6" x14ac:dyDescent="0.25">
      <c r="A64" s="43">
        <v>59</v>
      </c>
      <c r="B64" s="14" t="s">
        <v>93</v>
      </c>
      <c r="C64" s="15" t="s">
        <v>96</v>
      </c>
      <c r="D64" s="15"/>
      <c r="E64" s="32">
        <f t="shared" ref="E64" si="3">SUM(29+(1/60)+(58/3600))</f>
        <v>29.032777777777778</v>
      </c>
      <c r="F64" s="9">
        <f>SUM(81+(34/60)+(3/3600))</f>
        <v>81.567499999999995</v>
      </c>
    </row>
    <row r="65" spans="1:6" x14ac:dyDescent="0.25">
      <c r="A65" s="43">
        <v>60</v>
      </c>
      <c r="B65" s="14" t="s">
        <v>94</v>
      </c>
      <c r="C65" s="15" t="s">
        <v>97</v>
      </c>
      <c r="D65" s="15"/>
      <c r="E65" s="32">
        <f>SUM(29+(1/60)+(55/3600))</f>
        <v>29.031944444444445</v>
      </c>
      <c r="F65" s="9">
        <f>SUM(81+(34/60)+(4/3600))</f>
        <v>81.567777777777778</v>
      </c>
    </row>
    <row r="66" spans="1:6" x14ac:dyDescent="0.25">
      <c r="A66" s="43">
        <v>61</v>
      </c>
      <c r="B66" s="8" t="s">
        <v>49</v>
      </c>
      <c r="C66" s="15" t="s">
        <v>98</v>
      </c>
      <c r="D66" s="15"/>
      <c r="E66" s="32">
        <f>SUM(29+(1/60)+(36/3600))</f>
        <v>29.026666666666667</v>
      </c>
      <c r="F66" s="9">
        <f>SUM(81+(34/60)+(44/3600))</f>
        <v>81.578888888888883</v>
      </c>
    </row>
    <row r="67" spans="1:6" ht="15.75" thickBot="1" x14ac:dyDescent="0.3">
      <c r="A67" s="43">
        <v>62</v>
      </c>
      <c r="B67" s="11" t="s">
        <v>48</v>
      </c>
      <c r="C67" s="16" t="s">
        <v>99</v>
      </c>
      <c r="D67" s="16"/>
      <c r="E67" s="33">
        <v>29.02472222222222</v>
      </c>
      <c r="F67" s="12">
        <v>81.567499999999995</v>
      </c>
    </row>
    <row r="68" spans="1:6" ht="15.75" thickBot="1" x14ac:dyDescent="0.3">
      <c r="A68" s="44">
        <v>63</v>
      </c>
      <c r="B68" s="39"/>
      <c r="C68" s="38"/>
      <c r="D68" s="27">
        <v>18</v>
      </c>
      <c r="E68" s="33"/>
      <c r="F68" s="12"/>
    </row>
    <row r="82" spans="2:2" x14ac:dyDescent="0.25">
      <c r="B82" s="13"/>
    </row>
    <row r="86" spans="2:2" x14ac:dyDescent="0.25">
      <c r="B86" s="13"/>
    </row>
  </sheetData>
  <mergeCells count="7">
    <mergeCell ref="E48:F48"/>
    <mergeCell ref="E55:F55"/>
    <mergeCell ref="E6:F6"/>
    <mergeCell ref="E9:F9"/>
    <mergeCell ref="E19:F19"/>
    <mergeCell ref="E24:F24"/>
    <mergeCell ref="E33:F33"/>
  </mergeCells>
  <printOptions horizontalCentered="1" verticalCentered="1"/>
  <pageMargins left="0.25" right="0.25" top="0.25" bottom="0.25" header="0" footer="0"/>
  <pageSetup scale="76" orientation="portrait" horizontalDpi="1200" verticalDpi="1200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John Wimer</cp:lastModifiedBy>
  <cp:lastPrinted>2024-03-29T01:01:52Z</cp:lastPrinted>
  <dcterms:created xsi:type="dcterms:W3CDTF">2017-09-28T13:04:43Z</dcterms:created>
  <dcterms:modified xsi:type="dcterms:W3CDTF">2024-03-29T01:02:10Z</dcterms:modified>
</cp:coreProperties>
</file>